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ssumptions" sheetId="2" state="visible" r:id="rId2"/>
    <sheet xmlns:r="http://schemas.openxmlformats.org/officeDocument/2006/relationships" name="Murabaha" sheetId="3" state="visible" r:id="rId3"/>
    <sheet xmlns:r="http://schemas.openxmlformats.org/officeDocument/2006/relationships" name="Ijarah" sheetId="4" state="visible" r:id="rId4"/>
    <sheet xmlns:r="http://schemas.openxmlformats.org/officeDocument/2006/relationships" name="Diminishing Musharakah" sheetId="5" state="visible" r:id="rId5"/>
    <sheet xmlns:r="http://schemas.openxmlformats.org/officeDocument/2006/relationships" name="Salam and Istisna' plans" sheetId="6" state="visible" r:id="rId6"/>
    <sheet xmlns:r="http://schemas.openxmlformats.org/officeDocument/2006/relationships" name="Early settlement and damage" sheetId="7" state="visible" r:id="rId7"/>
    <sheet xmlns:r="http://schemas.openxmlformats.org/officeDocument/2006/relationships" name="Financing document checklist" sheetId="8" state="visible" r:id="rId8"/>
  </sheets>
  <definedNames>
    <definedName name="Rate_Murabaha_Export">Assumptions!$C$5</definedName>
    <definedName name="Rate_Murabaha_General">Assumptions!$C$6</definedName>
    <definedName name="Rate_Ijarah">Assumptions!$C$7</definedName>
    <definedName name="Rate_DM_Rent">Assumptions!$C$8</definedName>
    <definedName name="Rate_Tawarruq">Assumptions!$C$9</definedName>
    <definedName name="Damage_Rate_Monthly">Assumptions!$C$10</definedName>
    <definedName name="FX_Rate_Illustrative">Assumptions!$C$11</definedName>
    <definedName name="Rebate_Share">Assumptions!$C$12</definedName>
    <definedName name="Cover_Min">Assumptions!$C$13</definedName>
    <definedName name="Basis_Names">Assumptions!$A$17:$A$20</definedName>
    <definedName name="Basis_Table">Assumptions!$A$17:$B$20</definedName>
    <definedName name="Freq_Names">Assumptions!$A$24:$A$26</definedName>
    <definedName name="Freq_Table">Assumptions!$A$24:$B$26</definedName>
    <definedName name="List_UnitMethod">Assumptions!$A$30:$A$31</definedName>
    <definedName name="List_Status">Assumptions!$B$30:$B$33</definedName>
    <definedName name="List_Owner">Assumptions!$C$30:$C$34</definedName>
    <definedName name="List_Mode">Assumptions!$D$30:$D$37</definedName>
    <definedName name="_xlnm.Print_Area" localSheetId="0">'Instructions'!$A$1:$C$29</definedName>
    <definedName name="_xlnm.Print_Area" localSheetId="1">'Assumptions'!$A$1:$D$39</definedName>
    <definedName name="_xlnm.Print_Titles" localSheetId="2">'Murabaha'!$4:$4</definedName>
    <definedName name="_xlnm.Print_Area" localSheetId="2">'Murabaha'!$A$1:$K$68</definedName>
    <definedName name="_xlnm.Print_Area" localSheetId="3">'Ijarah'!$A$1:$I$48</definedName>
    <definedName name="_xlnm.Print_Area" localSheetId="4">'Diminishing Musharakah'!$A$1:$I$42</definedName>
    <definedName name="_xlnm.Print_Area" localSheetId="5">'Salam and Istisna'' plans'!$A$1:$H$47</definedName>
    <definedName name="_xlnm.Print_Area" localSheetId="6">'Early settlement and damage'!$A$1:$F$49</definedName>
    <definedName name="_xlnm.Print_Titles" localSheetId="7">'Financing document checklist'!$4:$4</definedName>
    <definedName name="_xlnm.Print_Area" localSheetId="7">'Financing document checklist'!$A$1:$K$46</definedName>
  </definedNames>
  <calcPr calcId="124519" fullCalcOnLoad="1"/>
</workbook>
</file>

<file path=xl/styles.xml><?xml version="1.0" encoding="utf-8"?>
<styleSheet xmlns="http://schemas.openxmlformats.org/spreadsheetml/2006/main">
  <numFmts count="9">
    <numFmt numFmtId="164" formatCode="0.0%"/>
    <numFmt numFmtId="165" formatCode="#,##0.00;(#,##0.00);0.00"/>
    <numFmt numFmtId="166" formatCode="0.00&quot;x&quot;"/>
    <numFmt numFmtId="167" formatCode="yyyy-mm-dd"/>
    <numFmt numFmtId="168" formatCode="d mmm yyyy"/>
    <numFmt numFmtId="169" formatCode="#,##0;(#,##0);0"/>
    <numFmt numFmtId="170" formatCode="&quot;USD &quot;#,##0.00"/>
    <numFmt numFmtId="171" formatCode="yyyy-mm-dd h:mm:ss"/>
    <numFmt numFmtId="172" formatCode="d mmm yyyy hh:mm"/>
  </numFmts>
  <fonts count="12">
    <font>
      <name val="Calibri"/>
      <family val="2"/>
      <color theme="1"/>
      <sz val="11"/>
      <scheme val="minor"/>
    </font>
    <font>
      <name val="Calibri"/>
      <b val="1"/>
      <color rgb="000F4C3A"/>
      <sz val="16"/>
    </font>
    <font>
      <name val="Calibri"/>
      <sz val="11"/>
    </font>
    <font>
      <name val="Calibri"/>
      <b val="1"/>
      <color rgb="000F4C3A"/>
      <sz val="11"/>
    </font>
    <font>
      <name val="Calibri"/>
      <b val="1"/>
      <color rgb="000F4C3A"/>
      <sz val="12"/>
    </font>
    <font>
      <name val="Calibri"/>
      <b val="1"/>
      <color rgb="00FFFFFF"/>
      <sz val="11"/>
    </font>
    <font>
      <name val="Calibri"/>
      <b val="1"/>
      <sz val="11"/>
    </font>
    <font>
      <name val="Calibri"/>
      <i val="1"/>
      <color rgb="000F4C3A"/>
      <sz val="10"/>
    </font>
    <font>
      <name val="Calibri"/>
      <i val="1"/>
      <color rgb="00555555"/>
      <sz val="11"/>
    </font>
    <font>
      <name val="Calibri"/>
      <color rgb="001F1F1F"/>
      <sz val="11"/>
    </font>
    <font>
      <name val="Calibri"/>
      <i val="1"/>
      <color rgb="00555555"/>
      <sz val="10"/>
    </font>
    <font>
      <name val="Calibri"/>
      <b val="1"/>
      <color rgb="00C00000"/>
      <sz val="11"/>
    </font>
  </fonts>
  <fills count="4">
    <fill>
      <patternFill/>
    </fill>
    <fill>
      <patternFill patternType="gray125"/>
    </fill>
    <fill>
      <patternFill patternType="solid">
        <fgColor rgb="000F4C3A"/>
      </patternFill>
    </fill>
    <fill>
      <patternFill patternType="solid">
        <fgColor rgb="00FFF2CC"/>
      </patternFill>
    </fill>
  </fills>
  <borders count="9">
    <border>
      <left/>
      <right/>
      <top/>
      <bottom/>
      <diagonal/>
    </border>
    <border>
      <bottom style="medium">
        <color rgb="00D4A72C"/>
      </bottom>
    </border>
    <border>
      <left style="thin">
        <color rgb="00BFBFBF"/>
      </left>
      <right style="thin">
        <color rgb="00BFBFBF"/>
      </right>
      <top style="thin">
        <color rgb="00BFBFBF"/>
      </top>
      <bottom style="thin">
        <color rgb="00BFBFBF"/>
      </bottom>
    </border>
    <border>
      <top style="medium">
        <color rgb="00D4A72C"/>
      </top>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left style="thin">
        <color rgb="00BFBFBF"/>
      </left>
      <right style="thin">
        <color rgb="00BFBFBF"/>
      </right>
      <top style="medium">
        <color rgb="00D4A72C"/>
      </top>
      <bottom style="thin">
        <color rgb="00BFBFBF"/>
      </bottom>
    </border>
    <border>
      <left/>
      <right/>
      <top style="thin">
        <color rgb="00BFBFBF"/>
      </top>
      <bottom style="thin">
        <color rgb="00BFBFBF"/>
      </bottom>
      <diagonal/>
    </border>
  </borders>
  <cellStyleXfs count="1">
    <xf numFmtId="0" fontId="0" fillId="0" borderId="0"/>
  </cellStyleXfs>
  <cellXfs count="56">
    <xf numFmtId="0" fontId="0" fillId="0" borderId="0" pivotButton="0" quotePrefix="0" xfId="0"/>
    <xf numFmtId="0" fontId="1" fillId="0" borderId="1" applyAlignment="1" pivotButton="0" quotePrefix="0" xfId="0">
      <alignment vertical="center"/>
    </xf>
    <xf numFmtId="0" fontId="0" fillId="0" borderId="1"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0" fontId="4" fillId="0" borderId="0" pivotButton="0" quotePrefix="0" xfId="0"/>
    <xf numFmtId="0" fontId="5" fillId="2" borderId="2" applyAlignment="1" pivotButton="0" quotePrefix="0" xfId="0">
      <alignment horizontal="center" vertical="center" wrapText="1"/>
    </xf>
    <xf numFmtId="0" fontId="0" fillId="0" borderId="2" pivotButton="0" quotePrefix="0" xfId="0"/>
    <xf numFmtId="0" fontId="6" fillId="0" borderId="2" applyAlignment="1" pivotButton="0" quotePrefix="0" xfId="0">
      <alignment vertical="top" wrapText="1"/>
    </xf>
    <xf numFmtId="0" fontId="2" fillId="0" borderId="2" applyAlignment="1" pivotButton="0" quotePrefix="0" xfId="0">
      <alignment vertical="top" wrapText="1"/>
    </xf>
    <xf numFmtId="0" fontId="7" fillId="0" borderId="3" applyAlignment="1" pivotButton="0" quotePrefix="0" xfId="0">
      <alignment vertical="center" wrapText="1"/>
    </xf>
    <xf numFmtId="0" fontId="0" fillId="0" borderId="3" pivotButton="0" quotePrefix="0" xfId="0"/>
    <xf numFmtId="0" fontId="7" fillId="0" borderId="3" applyAlignment="1" pivotButton="0" quotePrefix="0" xfId="0">
      <alignment horizontal="center" vertical="center"/>
    </xf>
    <xf numFmtId="0" fontId="8" fillId="0" borderId="0" applyAlignment="1" pivotButton="0" quotePrefix="0" xfId="0">
      <alignment vertical="top" wrapText="1"/>
    </xf>
    <xf numFmtId="164" fontId="2" fillId="3" borderId="2" applyAlignment="1" applyProtection="1" pivotButton="0" quotePrefix="0" xfId="0">
      <alignment horizontal="center" vertical="top" wrapText="1"/>
      <protection locked="0" hidden="0"/>
    </xf>
    <xf numFmtId="165" fontId="2" fillId="3" borderId="2" applyAlignment="1" applyProtection="1" pivotButton="0" quotePrefix="0" xfId="0">
      <alignment horizontal="center" vertical="top" wrapText="1"/>
      <protection locked="0" hidden="0"/>
    </xf>
    <xf numFmtId="9" fontId="2" fillId="3" borderId="2" applyAlignment="1" applyProtection="1" pivotButton="0" quotePrefix="0" xfId="0">
      <alignment horizontal="center" vertical="top" wrapText="1"/>
      <protection locked="0" hidden="0"/>
    </xf>
    <xf numFmtId="166" fontId="2" fillId="3" borderId="2" applyAlignment="1" applyProtection="1" pivotButton="0" quotePrefix="0" xfId="0">
      <alignment horizontal="center" vertical="top" wrapText="1"/>
      <protection locked="0" hidden="0"/>
    </xf>
    <xf numFmtId="164" fontId="9" fillId="0" borderId="2" applyAlignment="1" pivotButton="0" quotePrefix="0" xfId="0">
      <alignment horizontal="center" vertical="top" wrapText="1"/>
    </xf>
    <xf numFmtId="0" fontId="2" fillId="0" borderId="2" applyAlignment="1" pivotButton="0" quotePrefix="0" xfId="0">
      <alignment horizontal="center" vertical="top" wrapText="1"/>
    </xf>
    <xf numFmtId="0" fontId="2" fillId="3" borderId="2" applyAlignment="1" applyProtection="1" pivotButton="0" quotePrefix="0" xfId="0">
      <alignment vertical="top" wrapText="1"/>
      <protection locked="0" hidden="0"/>
    </xf>
    <xf numFmtId="0" fontId="10" fillId="0" borderId="2" applyAlignment="1" pivotButton="0" quotePrefix="0" xfId="0">
      <alignment vertical="top" wrapText="1"/>
    </xf>
    <xf numFmtId="1" fontId="9" fillId="0" borderId="2" applyAlignment="1" pivotButton="0" quotePrefix="0" xfId="0">
      <alignment horizontal="center" vertical="top" wrapText="1"/>
    </xf>
    <xf numFmtId="168" fontId="9" fillId="0" borderId="2" applyAlignment="1" pivotButton="0" quotePrefix="0" xfId="0">
      <alignment horizontal="center" vertical="top" wrapText="1"/>
    </xf>
    <xf numFmtId="165" fontId="9" fillId="0" borderId="2" applyAlignment="1" pivotButton="0" quotePrefix="0" xfId="0">
      <alignment horizontal="right" vertical="top" wrapText="1"/>
    </xf>
    <xf numFmtId="165" fontId="2" fillId="3" borderId="2" applyAlignment="1" applyProtection="1" pivotButton="0" quotePrefix="0" xfId="0">
      <alignment horizontal="right" vertical="top" wrapText="1"/>
      <protection locked="0" hidden="0"/>
    </xf>
    <xf numFmtId="1" fontId="2" fillId="3" borderId="2" applyAlignment="1" applyProtection="1" pivotButton="0" quotePrefix="0" xfId="0">
      <alignment horizontal="center" vertical="top" wrapText="1"/>
      <protection locked="0" hidden="0"/>
    </xf>
    <xf numFmtId="168" fontId="2" fillId="3" borderId="2" applyAlignment="1" applyProtection="1" pivotButton="0" quotePrefix="0" xfId="0">
      <alignment horizontal="center" vertical="top" wrapText="1"/>
      <protection locked="0" hidden="0"/>
    </xf>
    <xf numFmtId="165" fontId="6" fillId="0" borderId="2" applyAlignment="1" pivotButton="0" quotePrefix="0" xfId="0">
      <alignment horizontal="right" vertical="top" wrapText="1"/>
    </xf>
    <xf numFmtId="165" fontId="2" fillId="0" borderId="2" applyAlignment="1" pivotButton="0" quotePrefix="0" xfId="0">
      <alignment horizontal="right" vertical="top" wrapText="1"/>
    </xf>
    <xf numFmtId="0" fontId="10" fillId="0" borderId="0" applyAlignment="1" pivotButton="0" quotePrefix="0" xfId="0">
      <alignment vertical="top" wrapText="1"/>
    </xf>
    <xf numFmtId="164" fontId="2" fillId="0" borderId="2" applyAlignment="1" pivotButton="0" quotePrefix="0" xfId="0">
      <alignment horizontal="center" vertical="top" wrapText="1"/>
    </xf>
    <xf numFmtId="1" fontId="2" fillId="0" borderId="2" applyAlignment="1" pivotButton="0" quotePrefix="0" xfId="0">
      <alignment horizontal="center" vertical="top" wrapText="1"/>
    </xf>
    <xf numFmtId="0" fontId="9" fillId="0" borderId="2" applyAlignment="1" pivotButton="0" quotePrefix="0" xfId="0">
      <alignment vertical="top" wrapText="1"/>
    </xf>
    <xf numFmtId="169" fontId="2" fillId="3" borderId="2" applyAlignment="1" applyProtection="1" pivotButton="0" quotePrefix="0" xfId="0">
      <alignment horizontal="right" vertical="top" wrapText="1"/>
      <protection locked="0" hidden="0"/>
    </xf>
    <xf numFmtId="2" fontId="2" fillId="3" borderId="2" applyAlignment="1" applyProtection="1" pivotButton="0" quotePrefix="0" xfId="0">
      <alignment horizontal="center" vertical="top" wrapText="1"/>
      <protection locked="0" hidden="0"/>
    </xf>
    <xf numFmtId="170" fontId="9" fillId="0" borderId="2" applyAlignment="1" pivotButton="0" quotePrefix="0" xfId="0">
      <alignment vertical="top" wrapText="1"/>
    </xf>
    <xf numFmtId="166" fontId="9" fillId="0" borderId="2" applyAlignment="1" pivotButton="0" quotePrefix="0" xfId="0">
      <alignment horizontal="right" vertical="top" wrapText="1"/>
    </xf>
    <xf numFmtId="0" fontId="6" fillId="0" borderId="7" applyAlignment="1" pivotButton="0" quotePrefix="0" xfId="0">
      <alignment vertical="top" wrapText="1"/>
    </xf>
    <xf numFmtId="0" fontId="6" fillId="0" borderId="7" pivotButton="0" quotePrefix="0" xfId="0"/>
    <xf numFmtId="165" fontId="6" fillId="0" borderId="7" applyAlignment="1" pivotButton="0" quotePrefix="0" xfId="0">
      <alignment horizontal="right" vertical="top" wrapText="1"/>
    </xf>
    <xf numFmtId="0" fontId="0" fillId="0" borderId="8" pivotButton="0" quotePrefix="0" xfId="0"/>
    <xf numFmtId="0" fontId="0" fillId="0" borderId="6" pivotButton="0" quotePrefix="0" xfId="0"/>
    <xf numFmtId="0" fontId="6" fillId="0" borderId="2" applyAlignment="1" pivotButton="0" quotePrefix="0" xfId="0">
      <alignment horizontal="center" vertical="top" wrapText="1"/>
    </xf>
    <xf numFmtId="0" fontId="0" fillId="0" borderId="8" applyProtection="1" pivotButton="0" quotePrefix="0" xfId="0">
      <protection locked="0" hidden="0"/>
    </xf>
    <xf numFmtId="0" fontId="0" fillId="0" borderId="6" applyProtection="1" pivotButton="0" quotePrefix="0" xfId="0">
      <protection locked="0" hidden="0"/>
    </xf>
    <xf numFmtId="169" fontId="9" fillId="0" borderId="2" applyAlignment="1" pivotButton="0" quotePrefix="0" xfId="0">
      <alignment horizontal="right" vertical="top" wrapText="1"/>
    </xf>
    <xf numFmtId="169" fontId="6" fillId="0" borderId="7" applyAlignment="1" pivotButton="0" quotePrefix="0" xfId="0">
      <alignment horizontal="right" vertical="top" wrapText="1"/>
    </xf>
    <xf numFmtId="0" fontId="9" fillId="0" borderId="2" applyAlignment="1" pivotButton="0" quotePrefix="0" xfId="0">
      <alignment horizontal="center" vertical="top" wrapText="1"/>
    </xf>
    <xf numFmtId="0" fontId="2" fillId="3" borderId="2" applyAlignment="1" applyProtection="1" pivotButton="0" quotePrefix="0" xfId="0">
      <alignment horizontal="center" vertical="top" wrapText="1"/>
      <protection locked="0" hidden="0"/>
    </xf>
    <xf numFmtId="9" fontId="6" fillId="0" borderId="7" applyAlignment="1" pivotButton="0" quotePrefix="0" xfId="0">
      <alignment horizontal="center" vertical="top" wrapText="1"/>
    </xf>
    <xf numFmtId="9" fontId="9" fillId="0" borderId="2" applyAlignment="1" pivotButton="0" quotePrefix="0" xfId="0">
      <alignment horizontal="center" vertical="top" wrapText="1"/>
    </xf>
    <xf numFmtId="0" fontId="11" fillId="0" borderId="0" applyAlignment="1" pivotButton="0" quotePrefix="0" xfId="0">
      <alignment vertical="top" wrapText="1"/>
    </xf>
    <xf numFmtId="2" fontId="9" fillId="0" borderId="2" applyAlignment="1" pivotButton="0" quotePrefix="0" xfId="0">
      <alignment horizontal="center" vertical="top" wrapText="1"/>
    </xf>
    <xf numFmtId="172" fontId="2" fillId="3" borderId="2" applyAlignment="1" applyProtection="1" pivotButton="0" quotePrefix="0" xfId="0">
      <alignment horizontal="center" vertical="top" wrapText="1"/>
      <protection locked="0" hidden="0"/>
    </xf>
    <xf numFmtId="1" fontId="6" fillId="0" borderId="2" applyAlignment="1" pivotButton="0" quotePrefix="0" xfId="0">
      <alignment horizontal="center" vertical="top" wrapText="1"/>
    </xf>
  </cellXfs>
  <cellStyles count="1">
    <cellStyle name="Normal" xfId="0" builtinId="0" hidden="0"/>
  </cellStyles>
  <dxfs count="2">
    <dxf>
      <font>
        <b val="1"/>
        <color rgb="009C0006"/>
      </font>
      <fill>
        <patternFill patternType="solid">
          <fgColor rgb="00FFC7CE"/>
          <bgColor rgb="00FFC7CE"/>
        </patternFill>
      </fill>
    </dxf>
    <dxf>
      <fill>
        <patternFill patternType="solid">
          <fgColor rgb="00C6EFCE"/>
          <b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F4C3A"/>
    <outlinePr summaryBelow="1" summaryRight="1"/>
    <pageSetUpPr fitToPage="1"/>
  </sheetPr>
  <dimension ref="A1:C29"/>
  <sheetViews>
    <sheetView showGridLines="0" workbookViewId="0">
      <selection activeCell="A1" sqref="A1"/>
    </sheetView>
  </sheetViews>
  <sheetFormatPr baseColWidth="8" defaultRowHeight="15"/>
  <cols>
    <col width="4" customWidth="1" min="1" max="1"/>
    <col width="34" customWidth="1" min="2" max="2"/>
    <col width="92" customWidth="1" min="3" max="3"/>
  </cols>
  <sheetData>
    <row r="1" ht="26" customHeight="1">
      <c r="A1" s="1" t="inlineStr">
        <is>
          <t>IFB pricing calculator: Harar Highland and Dechatu (sample)</t>
        </is>
      </c>
      <c r="B1" s="2" t="n"/>
      <c r="C1" s="2" t="n"/>
    </row>
    <row r="2" ht="33" customHeight="1">
      <c r="A2" s="3" t="inlineStr">
        <is>
          <t>Course: Interest Free Banking Financing: Practitioner (Level 2, ifb-l2, Professional Certificate). Used for the practical exercise "Process one IFB financing end to end".</t>
        </is>
      </c>
    </row>
    <row r="3" ht="48" customHeight="1">
      <c r="A3" s="4" t="inlineStr">
        <is>
          <t>Purpose: price an IFB financing and prepare its paperwork: a Murabaha sale price and Schedule of Payment, an Ijarah rental schedule with an agreed rent review, a Diminishing Musharakah unit buy-out and rent schedule, Bai' Salam and Istisna' payment plans, an early settlement rebate and damage charge illustration, and the financing document checklist in signing order.</t>
        </is>
      </c>
    </row>
    <row r="4">
      <c r="A4" s="4" t="inlineStr">
        <is>
          <t>This workbook is filled in for the course's running cases. Replace the yellow cells with your own deal; unshaded cells calculate automatically.</t>
        </is>
      </c>
    </row>
    <row r="5" ht="48" customHeight="1">
      <c r="A5" s="4" t="inlineStr">
        <is>
          <t>Sample data is fictional: Bank A (an Ethiopian bank with an IFB window), Harar Highland Coffee Export PLC, Dechatu Garment Works PLC, Kulubi Highland Coffee Farmers Cooperative Union, Kezira Building Contractors PLC and every person named are invented for teaching. The exchange rate is illustrative.</t>
        </is>
      </c>
    </row>
    <row r="6">
      <c r="A6" s="4" t="inlineStr">
        <is>
          <t>Pricing convention used in the course: profit = cost x annual profit rate x months / 12; sale price = cost + profit. No macros are used.</t>
        </is>
      </c>
    </row>
    <row r="7" ht="33" customHeight="1">
      <c r="A7" s="4" t="inlineStr">
        <is>
          <t>Cell colors: light yellow cells are inputs you replace with your own data. Unshaded cells hold formulas that calculate automatically; do not type over them. Drop-down lists control the fixed choices.</t>
        </is>
      </c>
    </row>
    <row r="8" ht="33" customHeight="1">
      <c r="A8" s="4" t="inlineStr">
        <is>
          <t>Every rate, price, benchmark and limit in this workbook is an illustrative teaching figure. Replace them with your bank's board-approved pricing and IFB policy and its Sharia'h Advisory Committee rulings, which always take precedence. All sample people, companies and figures are fictional.</t>
        </is>
      </c>
    </row>
    <row r="9"/>
    <row r="10">
      <c r="A10" s="5" t="inlineStr">
        <is>
          <t>How to use each sheet</t>
        </is>
      </c>
    </row>
    <row r="11" ht="20" customHeight="1">
      <c r="A11" s="6" t="inlineStr"/>
      <c r="B11" s="6" t="inlineStr">
        <is>
          <t>Sheet</t>
        </is>
      </c>
      <c r="C11" s="6" t="inlineStr">
        <is>
          <t>How to use it</t>
        </is>
      </c>
    </row>
    <row r="12" ht="48" customHeight="1">
      <c r="A12" s="7" t="n"/>
      <c r="B12" s="8" t="inlineStr">
        <is>
          <t>Assumptions</t>
        </is>
      </c>
      <c r="C12" s="9" t="inlineStr">
        <is>
          <t>Named rates used by every sheet: Murabaha export and general rates, Ijarah rate, Diminishing Musharakah rent rate, Tawarruq rate, damage charge rate, illustrative exchange rate, rebate share and the thin cover line, each with its source. Change a rate here, never inside a formula.</t>
        </is>
      </c>
    </row>
    <row r="13" ht="63" customHeight="1">
      <c r="A13" s="7" t="n"/>
      <c r="B13" s="8" t="inlineStr">
        <is>
          <t>Murabaha</t>
        </is>
      </c>
      <c r="C13" s="9" t="inlineStr">
        <is>
          <t>Block A: enter the cost, choose the rate basis, term, number of installments and first due date for up to two deals. Block B: the Schedule of Payment (up to 60 installments) for the deal you choose; the last installment absorbs the rounding and the totals must equal the sale price. Block C: the export proceeds cover and the stress test.</t>
        </is>
      </c>
    </row>
    <row r="14" ht="63" customHeight="1">
      <c r="A14" s="7" t="n"/>
      <c r="B14" s="8" t="inlineStr">
        <is>
          <t>Ijarah</t>
        </is>
      </c>
      <c r="C14" s="9" t="inlineStr">
        <is>
          <t>Enter the asset cost delivered and installed, the lease years, delivery date and rent frequency. Rent = capital portion + profit rate x unrecovered cost. The rent review block applies a revised rate only to lease years starting after the review date, within the agreed floor and cap. The comparison shows the Murabaha alternative.</t>
        </is>
      </c>
    </row>
    <row r="15" ht="48" customHeight="1">
      <c r="A15" s="7" t="n"/>
      <c r="B15" s="8" t="inlineStr">
        <is>
          <t>Diminishing Musharakah</t>
        </is>
      </c>
      <c r="C15" s="9" t="inlineStr">
        <is>
          <t>Enter the asset value, Bank A's starting share, unit size and unit price method. Rent is charged only on Bank A's share, which falls as the customer buys units. For market value units, enter each year's market value.</t>
        </is>
      </c>
    </row>
    <row r="16" ht="33" customHeight="1">
      <c r="A16" s="7" t="n"/>
      <c r="B16" s="8" t="inlineStr">
        <is>
          <t>Salam and Istisna' plans</t>
        </is>
      </c>
      <c r="C16" s="9" t="inlineStr">
        <is>
          <t>Bai' Salam and parallel Salam with the full price paid at signing and the cash plan; Istisna' and parallel Istisna' with the stage table. A stage can be marked paid only when its certificate number is entered.</t>
        </is>
      </c>
    </row>
    <row r="17" ht="33" customHeight="1">
      <c r="A17" s="7" t="n"/>
      <c r="B17" s="8" t="inlineStr">
        <is>
          <t>Early settlement and damage</t>
        </is>
      </c>
      <c r="C17" s="9" t="inlineStr">
        <is>
          <t>The discretionary rebate on early settlement, the damage charge on a late installment (paid to charity, never income) and the charity account log.</t>
        </is>
      </c>
    </row>
    <row r="18" ht="33" customHeight="1">
      <c r="A18" s="7" t="n"/>
      <c r="B18" s="8" t="inlineStr">
        <is>
          <t>Financing document checklist</t>
        </is>
      </c>
      <c r="C18" s="9" t="inlineStr">
        <is>
          <t>Every document in signing order, with the event it must follow. Enter the date and time each is signed; the check column shows Too early in red when a document is dated before the one it depends on.</t>
        </is>
      </c>
    </row>
    <row r="19"/>
    <row r="20">
      <c r="A20" s="5" t="inlineStr">
        <is>
          <t>Rules the calculator follows</t>
        </is>
      </c>
    </row>
    <row r="21">
      <c r="A21" s="4" t="inlineStr">
        <is>
          <t>The bank owns and holds the asset before any sale. The sale price is fixed at signing and never increased for late payment.</t>
        </is>
      </c>
    </row>
    <row r="22" ht="33" customHeight="1">
      <c r="A22" s="4" t="inlineStr">
        <is>
          <t>A rebate on early settlement is at the bank's discretion and never written into the contract. Damage (late-payment) charges go to charity, never income.</t>
        </is>
      </c>
    </row>
    <row r="23" ht="33" customHeight="1">
      <c r="A23" s="4" t="inlineStr">
        <is>
          <t>Ijarah rent starts at delivery. Diminishing Musharakah rent is charged only on the bank's share. The Salam price is paid in full at signing. Istisna' bills are paid on certified progress.</t>
        </is>
      </c>
    </row>
    <row r="24"/>
    <row r="25">
      <c r="A25" s="5" t="inlineStr">
        <is>
          <t>Clearing the sample data</t>
        </is>
      </c>
    </row>
    <row r="26" ht="33" customHeight="1">
      <c r="A26" s="4" t="inlineStr">
        <is>
          <t>Select the light yellow cells on each sheet and press Delete, or type over them. Formulas show zero or blank until you enter new data. Do not delete the unshaded formula cells, the rates sheet or the headers.</t>
        </is>
      </c>
    </row>
    <row r="27"/>
    <row r="28" ht="32" customHeight="1">
      <c r="A28" s="10" t="inlineStr">
        <is>
          <t>Illustrative rates only. Use your bank's board-approved pricing; the host bank's Sharia'h Advisory Committee rulings and IFB policy take precedence.</t>
        </is>
      </c>
      <c r="B28" s="11" t="n"/>
      <c r="C28" s="11" t="n"/>
    </row>
    <row r="29" ht="22" customHeight="1">
      <c r="A29" s="12" t="inlineStr">
        <is>
          <t>Investopia Academy · A platform by Erudite Africa Investments PLC · investopia.et</t>
        </is>
      </c>
      <c r="B29" s="11" t="n"/>
      <c r="C29" s="11" t="n"/>
    </row>
  </sheetData>
  <mergeCells count="13">
    <mergeCell ref="A28:C28"/>
    <mergeCell ref="A5:C5"/>
    <mergeCell ref="A23:C23"/>
    <mergeCell ref="A8:C8"/>
    <mergeCell ref="A6:C6"/>
    <mergeCell ref="A22:C22"/>
    <mergeCell ref="A3:C3"/>
    <mergeCell ref="A7:C7"/>
    <mergeCell ref="A21:C21"/>
    <mergeCell ref="A29:C29"/>
    <mergeCell ref="A4:C4"/>
    <mergeCell ref="A26:C26"/>
    <mergeCell ref="A2:C2"/>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2.xml><?xml version="1.0" encoding="utf-8"?>
<worksheet xmlns="http://schemas.openxmlformats.org/spreadsheetml/2006/main">
  <sheetPr>
    <tabColor rgb="000F4C3A"/>
    <outlinePr summaryBelow="1" summaryRight="1"/>
    <pageSetUpPr fitToPage="1"/>
  </sheetPr>
  <dimension ref="A1:D39"/>
  <sheetViews>
    <sheetView showGridLines="0" workbookViewId="0">
      <pane ySplit="4" topLeftCell="A5" activePane="bottomLeft" state="frozen"/>
      <selection pane="bottomLeft" activeCell="A1" sqref="A1"/>
    </sheetView>
  </sheetViews>
  <sheetFormatPr baseColWidth="8" defaultRowHeight="15"/>
  <cols>
    <col width="24" customWidth="1" min="1" max="1"/>
    <col width="52" customWidth="1" min="2" max="2"/>
    <col width="14" customWidth="1" min="3" max="3"/>
    <col width="50" customWidth="1" min="4" max="4"/>
  </cols>
  <sheetData>
    <row r="1" ht="26" customHeight="1">
      <c r="A1" s="1" t="inlineStr">
        <is>
          <t>Assumptions: named rates and lists</t>
        </is>
      </c>
      <c r="B1" s="2" t="n"/>
      <c r="C1" s="2" t="n"/>
      <c r="D1" s="2" t="n"/>
    </row>
    <row r="2">
      <c r="A2" s="13" t="inlineStr">
        <is>
          <t>Named cells used by every formula. All values are illustrative: replace them with your bank's board-approved pricing.</t>
        </is>
      </c>
    </row>
    <row r="3"/>
    <row r="4" ht="20" customHeight="1">
      <c r="A4" s="6" t="inlineStr">
        <is>
          <t>Name</t>
        </is>
      </c>
      <c r="B4" s="6" t="inlineStr">
        <is>
          <t>Assumption</t>
        </is>
      </c>
      <c r="C4" s="6" t="inlineStr">
        <is>
          <t>Value</t>
        </is>
      </c>
      <c r="D4" s="6" t="inlineStr">
        <is>
          <t>Source</t>
        </is>
      </c>
    </row>
    <row r="5">
      <c r="A5" s="8" t="inlineStr">
        <is>
          <t>Rate_Murabaha_Export</t>
        </is>
      </c>
      <c r="B5" s="9" t="inlineStr">
        <is>
          <t>Murabaha pre-shipment export profit rate, a year</t>
        </is>
      </c>
      <c r="C5" s="14" t="n">
        <v>0.13</v>
      </c>
      <c r="D5" s="9" t="inlineStr">
        <is>
          <t>Illustrative, replace with board-approved pricing</t>
        </is>
      </c>
    </row>
    <row r="6">
      <c r="A6" s="8" t="inlineStr">
        <is>
          <t>Rate_Murabaha_General</t>
        </is>
      </c>
      <c r="B6" s="9" t="inlineStr">
        <is>
          <t>Murabaha general profit rate, a year</t>
        </is>
      </c>
      <c r="C6" s="14" t="n">
        <v>0.12</v>
      </c>
      <c r="D6" s="9" t="inlineStr">
        <is>
          <t>Illustrative, replace with board-approved pricing</t>
        </is>
      </c>
    </row>
    <row r="7">
      <c r="A7" s="8" t="inlineStr">
        <is>
          <t>Rate_Ijarah</t>
        </is>
      </c>
      <c r="B7" s="9" t="inlineStr">
        <is>
          <t>Ijarah profit rate on unrecovered cost, a year</t>
        </is>
      </c>
      <c r="C7" s="14" t="n">
        <v>0.14</v>
      </c>
      <c r="D7" s="9" t="inlineStr">
        <is>
          <t>Illustrative, replace with board-approved pricing</t>
        </is>
      </c>
    </row>
    <row r="8" ht="33" customHeight="1">
      <c r="A8" s="8" t="inlineStr">
        <is>
          <t>Rate_DM_Rent</t>
        </is>
      </c>
      <c r="B8" s="9" t="inlineStr">
        <is>
          <t>Diminishing Musharakah rent rate on the bank's share, a year</t>
        </is>
      </c>
      <c r="C8" s="14" t="n">
        <v>0.12</v>
      </c>
      <c r="D8" s="9" t="inlineStr">
        <is>
          <t>Illustrative, replace with board-approved pricing</t>
        </is>
      </c>
    </row>
    <row r="9">
      <c r="A9" s="8" t="inlineStr">
        <is>
          <t>Rate_Tawarruq</t>
        </is>
      </c>
      <c r="B9" s="9" t="inlineStr">
        <is>
          <t>Tawarruq profit rate, a year (within SAC limits)</t>
        </is>
      </c>
      <c r="C9" s="14" t="n">
        <v>0.14</v>
      </c>
      <c r="D9" s="9" t="inlineStr">
        <is>
          <t>Illustrative, replace with board-approved pricing</t>
        </is>
      </c>
    </row>
    <row r="10">
      <c r="A10" s="8" t="inlineStr">
        <is>
          <t>Damage_Rate_Monthly</t>
        </is>
      </c>
      <c r="B10" s="9" t="inlineStr">
        <is>
          <t>Damage charge, % of the overdue amount a month</t>
        </is>
      </c>
      <c r="C10" s="14" t="n">
        <v>0.005</v>
      </c>
      <c r="D10" s="9" t="inlineStr">
        <is>
          <t>Illustrative, as agreed in the contract; paid to charity</t>
        </is>
      </c>
    </row>
    <row r="11">
      <c r="A11" s="8" t="inlineStr">
        <is>
          <t>FX_Rate_Illustrative</t>
        </is>
      </c>
      <c r="B11" s="9" t="inlineStr">
        <is>
          <t>Exchange rate, ETB per USD</t>
        </is>
      </c>
      <c r="C11" s="15" t="n">
        <v>150</v>
      </c>
      <c r="D11" s="9" t="inlineStr">
        <is>
          <t>Illustrative; use the rate on the day of analysis</t>
        </is>
      </c>
    </row>
    <row r="12" ht="33" customHeight="1">
      <c r="A12" s="8" t="inlineStr">
        <is>
          <t>Rebate_Share</t>
        </is>
      </c>
      <c r="B12" s="9" t="inlineStr">
        <is>
          <t>Rebate share of unearned profit on early settlement</t>
        </is>
      </c>
      <c r="C12" s="16" t="n">
        <v>1</v>
      </c>
      <c r="D12" s="9" t="inlineStr">
        <is>
          <t>The guideline's maximum; the approving manager may grant less</t>
        </is>
      </c>
    </row>
    <row r="13">
      <c r="A13" s="8" t="inlineStr">
        <is>
          <t>Cover_Min</t>
        </is>
      </c>
      <c r="B13" s="9" t="inlineStr">
        <is>
          <t>Proceeds cover below which the file is flagged Thin cover</t>
        </is>
      </c>
      <c r="C13" s="17" t="n">
        <v>1.1</v>
      </c>
      <c r="D13" s="9" t="inlineStr">
        <is>
          <t>Illustrative credit guideline</t>
        </is>
      </c>
    </row>
    <row r="14"/>
    <row r="15">
      <c r="A15" s="5" t="inlineStr">
        <is>
          <t>Rate basis for the Murabaha sheet</t>
        </is>
      </c>
    </row>
    <row r="16" ht="20" customHeight="1">
      <c r="A16" s="6" t="inlineStr">
        <is>
          <t>Rate basis</t>
        </is>
      </c>
      <c r="B16" s="6" t="inlineStr">
        <is>
          <t>Rate (from the cells above)</t>
        </is>
      </c>
      <c r="C16" s="6" t="inlineStr"/>
      <c r="D16" s="6" t="inlineStr"/>
    </row>
    <row r="17">
      <c r="A17" s="9" t="inlineStr">
        <is>
          <t>Murabaha export</t>
        </is>
      </c>
      <c r="B17" s="18">
        <f>Rate_Murabaha_Export</f>
        <v/>
      </c>
    </row>
    <row r="18">
      <c r="A18" s="9" t="inlineStr">
        <is>
          <t>Murabaha general</t>
        </is>
      </c>
      <c r="B18" s="18">
        <f>Rate_Murabaha_General</f>
        <v/>
      </c>
    </row>
    <row r="19">
      <c r="A19" s="9" t="inlineStr">
        <is>
          <t>Tawarruq</t>
        </is>
      </c>
      <c r="B19" s="18">
        <f>Rate_Tawarruq</f>
        <v/>
      </c>
    </row>
    <row r="20">
      <c r="A20" s="9" t="inlineStr">
        <is>
          <t>Manual</t>
        </is>
      </c>
      <c r="B20" s="18">
        <f>""</f>
        <v/>
      </c>
    </row>
    <row r="21"/>
    <row r="22">
      <c r="A22" s="5" t="inlineStr">
        <is>
          <t>Rent frequency</t>
        </is>
      </c>
    </row>
    <row r="23" ht="20" customHeight="1">
      <c r="A23" s="6" t="inlineStr">
        <is>
          <t>Frequency</t>
        </is>
      </c>
      <c r="B23" s="6" t="inlineStr">
        <is>
          <t>Periods a year</t>
        </is>
      </c>
      <c r="C23" s="6" t="inlineStr"/>
      <c r="D23" s="6" t="inlineStr"/>
    </row>
    <row r="24">
      <c r="A24" s="9" t="inlineStr">
        <is>
          <t>Monthly</t>
        </is>
      </c>
      <c r="B24" s="19" t="n">
        <v>12</v>
      </c>
    </row>
    <row r="25">
      <c r="A25" s="9" t="inlineStr">
        <is>
          <t>Quarterly</t>
        </is>
      </c>
      <c r="B25" s="19" t="n">
        <v>4</v>
      </c>
    </row>
    <row r="26">
      <c r="A26" s="9" t="inlineStr">
        <is>
          <t>Annual</t>
        </is>
      </c>
      <c r="B26" s="19" t="n">
        <v>1</v>
      </c>
    </row>
    <row r="27"/>
    <row r="28">
      <c r="A28" s="5" t="inlineStr">
        <is>
          <t>Other lists</t>
        </is>
      </c>
    </row>
    <row r="29" ht="20" customHeight="1">
      <c r="A29" s="6" t="inlineStr">
        <is>
          <t>Unit price method</t>
        </is>
      </c>
      <c r="B29" s="6" t="inlineStr">
        <is>
          <t>Document status</t>
        </is>
      </c>
      <c r="C29" s="6" t="inlineStr">
        <is>
          <t>Owner</t>
        </is>
      </c>
      <c r="D29" s="6" t="inlineStr">
        <is>
          <t>Mode</t>
        </is>
      </c>
    </row>
    <row r="30">
      <c r="A30" s="9" t="inlineStr">
        <is>
          <t>Agreed value</t>
        </is>
      </c>
      <c r="B30" s="9" t="inlineStr">
        <is>
          <t>Not started</t>
        </is>
      </c>
      <c r="C30" s="9" t="inlineStr">
        <is>
          <t>RM</t>
        </is>
      </c>
      <c r="D30" s="9" t="inlineStr">
        <is>
          <t>Murabaha</t>
        </is>
      </c>
    </row>
    <row r="31" ht="33" customHeight="1">
      <c r="A31" s="9" t="inlineStr">
        <is>
          <t>Market value on buy-out date</t>
        </is>
      </c>
      <c r="B31" s="9" t="inlineStr">
        <is>
          <t>Signed</t>
        </is>
      </c>
      <c r="C31" s="9" t="inlineStr">
        <is>
          <t>Analyst</t>
        </is>
      </c>
      <c r="D31" s="9" t="inlineStr">
        <is>
          <t>Salam</t>
        </is>
      </c>
    </row>
    <row r="32">
      <c r="B32" s="9" t="inlineStr">
        <is>
          <t>Registered</t>
        </is>
      </c>
      <c r="C32" s="9" t="inlineStr">
        <is>
          <t>Valuator</t>
        </is>
      </c>
      <c r="D32" s="9" t="inlineStr">
        <is>
          <t>Istisna'</t>
        </is>
      </c>
    </row>
    <row r="33">
      <c r="B33" s="9" t="inlineStr">
        <is>
          <t>N/A</t>
        </is>
      </c>
      <c r="C33" s="9" t="inlineStr">
        <is>
          <t>Legal advisor</t>
        </is>
      </c>
      <c r="D33" s="9" t="inlineStr">
        <is>
          <t>Ijarah</t>
        </is>
      </c>
    </row>
    <row r="34" ht="33" customHeight="1">
      <c r="C34" s="9" t="inlineStr">
        <is>
          <t>Financing administrator</t>
        </is>
      </c>
      <c r="D34" s="9" t="inlineStr">
        <is>
          <t>DM</t>
        </is>
      </c>
    </row>
    <row r="35">
      <c r="D35" s="9" t="inlineStr">
        <is>
          <t>Tawarruq</t>
        </is>
      </c>
    </row>
    <row r="36">
      <c r="D36" s="9" t="inlineStr">
        <is>
          <t>Tijarah</t>
        </is>
      </c>
    </row>
    <row r="37">
      <c r="D37" s="9" t="inlineStr">
        <is>
          <t>All</t>
        </is>
      </c>
    </row>
    <row r="38"/>
    <row r="39">
      <c r="A39" s="10" t="inlineStr">
        <is>
          <t>Illustrative rates only. Use your bank's board-approved pricing; the host bank's Sharia'h Advisory Committee rulings and IFB policy take precedence.</t>
        </is>
      </c>
      <c r="B39" s="11" t="n"/>
      <c r="C39" s="11" t="n"/>
      <c r="D39" s="11" t="n"/>
    </row>
  </sheetData>
  <mergeCells count="2">
    <mergeCell ref="A2:D2"/>
    <mergeCell ref="A39:D39"/>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3.xml><?xml version="1.0" encoding="utf-8"?>
<worksheet xmlns="http://schemas.openxmlformats.org/spreadsheetml/2006/main">
  <sheetPr>
    <tabColor rgb="000F4C3A"/>
    <outlinePr summaryBelow="1" summaryRight="1"/>
    <pageSetUpPr fitToPage="1"/>
  </sheetPr>
  <dimension ref="A1:K68"/>
  <sheetViews>
    <sheetView showGridLines="0" workbookViewId="0">
      <pane ySplit="4" topLeftCell="A5" activePane="bottomLeft" state="frozen"/>
      <selection pane="bottomLeft" activeCell="A1" sqref="A1"/>
    </sheetView>
  </sheetViews>
  <sheetFormatPr baseColWidth="8" defaultRowHeight="15"/>
  <cols>
    <col width="40" customWidth="1" min="1" max="1"/>
    <col width="20" customWidth="1" min="2" max="2"/>
    <col width="20" customWidth="1" min="3" max="3"/>
    <col width="30" customWidth="1" min="4" max="4"/>
    <col width="3" customWidth="1" min="5" max="5"/>
    <col width="7" customWidth="1" min="6" max="6"/>
    <col width="14" customWidth="1" min="7" max="7"/>
    <col width="15" customWidth="1" min="8" max="8"/>
    <col width="15" customWidth="1" min="9" max="9"/>
    <col width="14" customWidth="1" min="10" max="10"/>
    <col width="17" customWidth="1" min="11" max="11"/>
  </cols>
  <sheetData>
    <row r="1" ht="26" customHeight="1">
      <c r="A1" s="1" t="inlineStr">
        <is>
          <t>Murabaha: sale price, Schedule of Payment and proceeds cover</t>
        </is>
      </c>
      <c r="B1" s="2" t="n"/>
      <c r="C1" s="2" t="n"/>
      <c r="D1" s="2" t="n"/>
      <c r="E1" s="2" t="n"/>
      <c r="F1" s="2" t="n"/>
      <c r="G1" s="2" t="n"/>
      <c r="H1" s="2" t="n"/>
      <c r="I1" s="2" t="n"/>
      <c r="J1" s="2" t="n"/>
      <c r="K1" s="2" t="n"/>
    </row>
    <row r="2">
      <c r="A2" s="13" t="inlineStr">
        <is>
          <t>Block A prices up to two deals; Block B schedules the deal chosen in B18; Block C tests the export proceeds cover. The sale price is fixed at signing.</t>
        </is>
      </c>
    </row>
    <row r="3"/>
    <row r="4" ht="33" customHeight="1">
      <c r="A4" s="6" t="inlineStr">
        <is>
          <t>Block A: sale price</t>
        </is>
      </c>
      <c r="B4" s="6" t="inlineStr">
        <is>
          <t>Deal 1: outline example</t>
        </is>
      </c>
      <c r="C4" s="6" t="inlineStr">
        <is>
          <t>Deal 2: Harar Highland</t>
        </is>
      </c>
      <c r="D4" s="6" t="inlineStr">
        <is>
          <t>Note</t>
        </is>
      </c>
      <c r="F4" s="6" t="inlineStr">
        <is>
          <t>No.</t>
        </is>
      </c>
      <c r="G4" s="6" t="inlineStr">
        <is>
          <t>Due date</t>
        </is>
      </c>
      <c r="H4" s="6" t="inlineStr">
        <is>
          <t>Installment</t>
        </is>
      </c>
      <c r="I4" s="6" t="inlineStr">
        <is>
          <t>Cost portion</t>
        </is>
      </c>
      <c r="J4" s="6" t="inlineStr">
        <is>
          <t>Profit portion</t>
        </is>
      </c>
      <c r="K4" s="6" t="inlineStr">
        <is>
          <t>Balance of sale price</t>
        </is>
      </c>
    </row>
    <row r="5" ht="33" customHeight="1">
      <c r="A5" s="8" t="inlineStr">
        <is>
          <t>Customer</t>
        </is>
      </c>
      <c r="B5" s="20" t="inlineStr">
        <is>
          <t>Sample trader (outline example)</t>
        </is>
      </c>
      <c r="C5" s="20" t="inlineStr">
        <is>
          <t>Harar Highland Coffee Export PLC</t>
        </is>
      </c>
      <c r="D5" s="21" t="inlineStr"/>
      <c r="F5" s="22">
        <f>IF(1&lt;=$B$21,1,"")</f>
        <v/>
      </c>
      <c r="G5" s="23">
        <f>IF(F5="","",EDATE($B$23,F5-1))</f>
        <v/>
      </c>
      <c r="H5" s="24">
        <f>IF(F5="","",IF(F5=$B$21,$B$20-$B$22*($B$21-1),$B$22))</f>
        <v/>
      </c>
      <c r="I5" s="24">
        <f>IF(F5="","",IF(F5=$B$21,$B$19-ROUND($B$19/$B$21,2)*($B$21-1),ROUND($B$19/$B$21,2)))</f>
        <v/>
      </c>
      <c r="J5" s="24">
        <f>IF(F5="","",H5-I5)</f>
        <v/>
      </c>
      <c r="K5" s="24">
        <f>IF(F5="","",$B$20-SUM($H$5:H5))</f>
        <v/>
      </c>
    </row>
    <row r="6" ht="33" customHeight="1">
      <c r="A6" s="8" t="inlineStr">
        <is>
          <t>Goods</t>
        </is>
      </c>
      <c r="B6" s="20" t="inlineStr">
        <is>
          <t>Trade goods for resale</t>
        </is>
      </c>
      <c r="C6" s="20" t="inlineStr">
        <is>
          <t>36,000 kg washed Grade 2 coffee for export</t>
        </is>
      </c>
      <c r="D6" s="21" t="inlineStr"/>
      <c r="F6" s="22">
        <f>IF(2&lt;=$B$21,2,"")</f>
        <v/>
      </c>
      <c r="G6" s="23">
        <f>IF(F6="","",EDATE($B$23,F6-1))</f>
        <v/>
      </c>
      <c r="H6" s="24">
        <f>IF(F6="","",IF(F6=$B$21,$B$20-$B$22*($B$21-1),$B$22))</f>
        <v/>
      </c>
      <c r="I6" s="24">
        <f>IF(F6="","",IF(F6=$B$21,$B$19-ROUND($B$19/$B$21,2)*($B$21-1),ROUND($B$19/$B$21,2)))</f>
        <v/>
      </c>
      <c r="J6" s="24">
        <f>IF(F6="","",H6-I6)</f>
        <v/>
      </c>
      <c r="K6" s="24">
        <f>IF(F6="","",$B$20-SUM($H$5:H6))</f>
        <v/>
      </c>
    </row>
    <row r="7">
      <c r="A7" s="8" t="inlineStr">
        <is>
          <t>Purchase cost, incl. agreed direct costs (ETB)</t>
        </is>
      </c>
      <c r="B7" s="25" t="n">
        <v>1000000</v>
      </c>
      <c r="C7" s="25" t="n">
        <v>25000000</v>
      </c>
      <c r="D7" s="21" t="inlineStr">
        <is>
          <t>Paid by Bank A to the supplier</t>
        </is>
      </c>
      <c r="F7" s="22">
        <f>IF(3&lt;=$B$21,3,"")</f>
        <v/>
      </c>
      <c r="G7" s="23">
        <f>IF(F7="","",EDATE($B$23,F7-1))</f>
        <v/>
      </c>
      <c r="H7" s="24">
        <f>IF(F7="","",IF(F7=$B$21,$B$20-$B$22*($B$21-1),$B$22))</f>
        <v/>
      </c>
      <c r="I7" s="24">
        <f>IF(F7="","",IF(F7=$B$21,$B$19-ROUND($B$19/$B$21,2)*($B$21-1),ROUND($B$19/$B$21,2)))</f>
        <v/>
      </c>
      <c r="J7" s="24">
        <f>IF(F7="","",H7-I7)</f>
        <v/>
      </c>
      <c r="K7" s="24">
        <f>IF(F7="","",$B$20-SUM($H$5:H7))</f>
        <v/>
      </c>
    </row>
    <row r="8" ht="33" customHeight="1">
      <c r="A8" s="8" t="inlineStr">
        <is>
          <t>Rate basis</t>
        </is>
      </c>
      <c r="B8" s="20" t="inlineStr">
        <is>
          <t>Murabaha general</t>
        </is>
      </c>
      <c r="C8" s="20" t="inlineStr">
        <is>
          <t>Murabaha export</t>
        </is>
      </c>
      <c r="D8" s="21" t="inlineStr">
        <is>
          <t>Choose from the list; Manual uses row 9</t>
        </is>
      </c>
      <c r="F8" s="22">
        <f>IF(4&lt;=$B$21,4,"")</f>
        <v/>
      </c>
      <c r="G8" s="23">
        <f>IF(F8="","",EDATE($B$23,F8-1))</f>
        <v/>
      </c>
      <c r="H8" s="24">
        <f>IF(F8="","",IF(F8=$B$21,$B$20-$B$22*($B$21-1),$B$22))</f>
        <v/>
      </c>
      <c r="I8" s="24">
        <f>IF(F8="","",IF(F8=$B$21,$B$19-ROUND($B$19/$B$21,2)*($B$21-1),ROUND($B$19/$B$21,2)))</f>
        <v/>
      </c>
      <c r="J8" s="24">
        <f>IF(F8="","",H8-I8)</f>
        <v/>
      </c>
      <c r="K8" s="24">
        <f>IF(F8="","",$B$20-SUM($H$5:H8))</f>
        <v/>
      </c>
    </row>
    <row r="9">
      <c r="A9" s="8" t="inlineStr">
        <is>
          <t>Manual rate (only if the basis is Manual)</t>
        </is>
      </c>
      <c r="B9" s="14" t="n"/>
      <c r="C9" s="14" t="n"/>
      <c r="D9" s="21" t="inlineStr"/>
      <c r="F9" s="22">
        <f>IF(5&lt;=$B$21,5,"")</f>
        <v/>
      </c>
      <c r="G9" s="23">
        <f>IF(F9="","",EDATE($B$23,F9-1))</f>
        <v/>
      </c>
      <c r="H9" s="24">
        <f>IF(F9="","",IF(F9=$B$21,$B$20-$B$22*($B$21-1),$B$22))</f>
        <v/>
      </c>
      <c r="I9" s="24">
        <f>IF(F9="","",IF(F9=$B$21,$B$19-ROUND($B$19/$B$21,2)*($B$21-1),ROUND($B$19/$B$21,2)))</f>
        <v/>
      </c>
      <c r="J9" s="24">
        <f>IF(F9="","",H9-I9)</f>
        <v/>
      </c>
      <c r="K9" s="24">
        <f>IF(F9="","",$B$20-SUM($H$5:H9))</f>
        <v/>
      </c>
    </row>
    <row r="10">
      <c r="A10" s="8" t="inlineStr">
        <is>
          <t>Annual profit rate used</t>
        </is>
      </c>
      <c r="B10" s="18">
        <f>IF(B8="Manual",B9,VLOOKUP(B8,Basis_Table,2,FALSE))</f>
        <v/>
      </c>
      <c r="C10" s="18">
        <f>IF(C8="Manual",C9,VLOOKUP(C8,Basis_Table,2,FALSE))</f>
        <v/>
      </c>
      <c r="D10" s="21" t="inlineStr">
        <is>
          <t>From the Assumptions sheet</t>
        </is>
      </c>
      <c r="F10" s="22">
        <f>IF(6&lt;=$B$21,6,"")</f>
        <v/>
      </c>
      <c r="G10" s="23">
        <f>IF(F10="","",EDATE($B$23,F10-1))</f>
        <v/>
      </c>
      <c r="H10" s="24">
        <f>IF(F10="","",IF(F10=$B$21,$B$20-$B$22*($B$21-1),$B$22))</f>
        <v/>
      </c>
      <c r="I10" s="24">
        <f>IF(F10="","",IF(F10=$B$21,$B$19-ROUND($B$19/$B$21,2)*($B$21-1),ROUND($B$19/$B$21,2)))</f>
        <v/>
      </c>
      <c r="J10" s="24">
        <f>IF(F10="","",H10-I10)</f>
        <v/>
      </c>
      <c r="K10" s="24">
        <f>IF(F10="","",$B$20-SUM($H$5:H10))</f>
        <v/>
      </c>
    </row>
    <row r="11">
      <c r="A11" s="8" t="inlineStr">
        <is>
          <t>Term in months</t>
        </is>
      </c>
      <c r="B11" s="26" t="n">
        <v>12</v>
      </c>
      <c r="C11" s="26" t="n">
        <v>6</v>
      </c>
      <c r="D11" s="21" t="inlineStr"/>
      <c r="F11" s="22">
        <f>IF(7&lt;=$B$21,7,"")</f>
        <v/>
      </c>
      <c r="G11" s="23">
        <f>IF(F11="","",EDATE($B$23,F11-1))</f>
        <v/>
      </c>
      <c r="H11" s="24">
        <f>IF(F11="","",IF(F11=$B$21,$B$20-$B$22*($B$21-1),$B$22))</f>
        <v/>
      </c>
      <c r="I11" s="24">
        <f>IF(F11="","",IF(F11=$B$21,$B$19-ROUND($B$19/$B$21,2)*($B$21-1),ROUND($B$19/$B$21,2)))</f>
        <v/>
      </c>
      <c r="J11" s="24">
        <f>IF(F11="","",H11-I11)</f>
        <v/>
      </c>
      <c r="K11" s="24">
        <f>IF(F11="","",$B$20-SUM($H$5:H11))</f>
        <v/>
      </c>
    </row>
    <row r="12">
      <c r="A12" s="8" t="inlineStr">
        <is>
          <t>Number of installments</t>
        </is>
      </c>
      <c r="B12" s="26" t="n">
        <v>12</v>
      </c>
      <c r="C12" s="26" t="n">
        <v>1</v>
      </c>
      <c r="D12" s="21" t="inlineStr">
        <is>
          <t>Deal 2: one payment at month 6</t>
        </is>
      </c>
      <c r="F12" s="22">
        <f>IF(8&lt;=$B$21,8,"")</f>
        <v/>
      </c>
      <c r="G12" s="23">
        <f>IF(F12="","",EDATE($B$23,F12-1))</f>
        <v/>
      </c>
      <c r="H12" s="24">
        <f>IF(F12="","",IF(F12=$B$21,$B$20-$B$22*($B$21-1),$B$22))</f>
        <v/>
      </c>
      <c r="I12" s="24">
        <f>IF(F12="","",IF(F12=$B$21,$B$19-ROUND($B$19/$B$21,2)*($B$21-1),ROUND($B$19/$B$21,2)))</f>
        <v/>
      </c>
      <c r="J12" s="24">
        <f>IF(F12="","",H12-I12)</f>
        <v/>
      </c>
      <c r="K12" s="24">
        <f>IF(F12="","",$B$20-SUM($H$5:H12))</f>
        <v/>
      </c>
    </row>
    <row r="13">
      <c r="A13" s="8" t="inlineStr">
        <is>
          <t>First due date</t>
        </is>
      </c>
      <c r="B13" s="27" t="n">
        <v>46366</v>
      </c>
      <c r="C13" s="27" t="n">
        <v>46499</v>
      </c>
      <c r="D13" s="21" t="inlineStr"/>
      <c r="F13" s="22">
        <f>IF(9&lt;=$B$21,9,"")</f>
        <v/>
      </c>
      <c r="G13" s="23">
        <f>IF(F13="","",EDATE($B$23,F13-1))</f>
        <v/>
      </c>
      <c r="H13" s="24">
        <f>IF(F13="","",IF(F13=$B$21,$B$20-$B$22*($B$21-1),$B$22))</f>
        <v/>
      </c>
      <c r="I13" s="24">
        <f>IF(F13="","",IF(F13=$B$21,$B$19-ROUND($B$19/$B$21,2)*($B$21-1),ROUND($B$19/$B$21,2)))</f>
        <v/>
      </c>
      <c r="J13" s="24">
        <f>IF(F13="","",H13-I13)</f>
        <v/>
      </c>
      <c r="K13" s="24">
        <f>IF(F13="","",$B$20-SUM($H$5:H13))</f>
        <v/>
      </c>
    </row>
    <row r="14">
      <c r="A14" s="8" t="inlineStr">
        <is>
          <t>Profit = cost x rate x months / 12</t>
        </is>
      </c>
      <c r="B14" s="24">
        <f>ROUND(B7*B10*B11/12,2)</f>
        <v/>
      </c>
      <c r="C14" s="24">
        <f>ROUND(C7*C10*C11/12,2)</f>
        <v/>
      </c>
      <c r="D14" s="21" t="inlineStr"/>
      <c r="F14" s="22">
        <f>IF(10&lt;=$B$21,10,"")</f>
        <v/>
      </c>
      <c r="G14" s="23">
        <f>IF(F14="","",EDATE($B$23,F14-1))</f>
        <v/>
      </c>
      <c r="H14" s="24">
        <f>IF(F14="","",IF(F14=$B$21,$B$20-$B$22*($B$21-1),$B$22))</f>
        <v/>
      </c>
      <c r="I14" s="24">
        <f>IF(F14="","",IF(F14=$B$21,$B$19-ROUND($B$19/$B$21,2)*($B$21-1),ROUND($B$19/$B$21,2)))</f>
        <v/>
      </c>
      <c r="J14" s="24">
        <f>IF(F14="","",H14-I14)</f>
        <v/>
      </c>
      <c r="K14" s="24">
        <f>IF(F14="","",$B$20-SUM($H$5:H14))</f>
        <v/>
      </c>
    </row>
    <row r="15">
      <c r="A15" s="8" t="inlineStr">
        <is>
          <t>Sale price = cost + profit</t>
        </is>
      </c>
      <c r="B15" s="28">
        <f>B7+B14</f>
        <v/>
      </c>
      <c r="C15" s="28">
        <f>C7+C14</f>
        <v/>
      </c>
      <c r="D15" s="21" t="inlineStr">
        <is>
          <t>Fixed at signing</t>
        </is>
      </c>
      <c r="F15" s="22">
        <f>IF(11&lt;=$B$21,11,"")</f>
        <v/>
      </c>
      <c r="G15" s="23">
        <f>IF(F15="","",EDATE($B$23,F15-1))</f>
        <v/>
      </c>
      <c r="H15" s="24">
        <f>IF(F15="","",IF(F15=$B$21,$B$20-$B$22*($B$21-1),$B$22))</f>
        <v/>
      </c>
      <c r="I15" s="24">
        <f>IF(F15="","",IF(F15=$B$21,$B$19-ROUND($B$19/$B$21,2)*($B$21-1),ROUND($B$19/$B$21,2)))</f>
        <v/>
      </c>
      <c r="J15" s="24">
        <f>IF(F15="","",H15-I15)</f>
        <v/>
      </c>
      <c r="K15" s="24">
        <f>IF(F15="","",$B$20-SUM($H$5:H15))</f>
        <v/>
      </c>
    </row>
    <row r="16">
      <c r="A16" s="8" t="inlineStr">
        <is>
          <t>Installment</t>
        </is>
      </c>
      <c r="B16" s="24">
        <f>ROUND(B15/B12,2)</f>
        <v/>
      </c>
      <c r="C16" s="24">
        <f>ROUND(C15/C12,2)</f>
        <v/>
      </c>
      <c r="D16" s="21" t="inlineStr"/>
      <c r="F16" s="22">
        <f>IF(12&lt;=$B$21,12,"")</f>
        <v/>
      </c>
      <c r="G16" s="23">
        <f>IF(F16="","",EDATE($B$23,F16-1))</f>
        <v/>
      </c>
      <c r="H16" s="24">
        <f>IF(F16="","",IF(F16=$B$21,$B$20-$B$22*($B$21-1),$B$22))</f>
        <v/>
      </c>
      <c r="I16" s="24">
        <f>IF(F16="","",IF(F16=$B$21,$B$19-ROUND($B$19/$B$21,2)*($B$21-1),ROUND($B$19/$B$21,2)))</f>
        <v/>
      </c>
      <c r="J16" s="24">
        <f>IF(F16="","",H16-I16)</f>
        <v/>
      </c>
      <c r="K16" s="24">
        <f>IF(F16="","",$B$20-SUM($H$5:H16))</f>
        <v/>
      </c>
    </row>
    <row r="17">
      <c r="A17" s="8" t="inlineStr">
        <is>
          <t>Last installment (absorbs rounding)</t>
        </is>
      </c>
      <c r="B17" s="24">
        <f>B15-B16*(B12-1)</f>
        <v/>
      </c>
      <c r="C17" s="24">
        <f>C15-C16*(C12-1)</f>
        <v/>
      </c>
      <c r="D17" s="21" t="inlineStr"/>
      <c r="F17" s="22">
        <f>IF(13&lt;=$B$21,13,"")</f>
        <v/>
      </c>
      <c r="G17" s="23">
        <f>IF(F17="","",EDATE($B$23,F17-1))</f>
        <v/>
      </c>
      <c r="H17" s="24">
        <f>IF(F17="","",IF(F17=$B$21,$B$20-$B$22*($B$21-1),$B$22))</f>
        <v/>
      </c>
      <c r="I17" s="24">
        <f>IF(F17="","",IF(F17=$B$21,$B$19-ROUND($B$19/$B$21,2)*($B$21-1),ROUND($B$19/$B$21,2)))</f>
        <v/>
      </c>
      <c r="J17" s="24">
        <f>IF(F17="","",H17-I17)</f>
        <v/>
      </c>
      <c r="K17" s="24">
        <f>IF(F17="","",$B$20-SUM($H$5:H17))</f>
        <v/>
      </c>
    </row>
    <row r="18">
      <c r="A18" s="8" t="inlineStr">
        <is>
          <t>Schedule of Payment shows</t>
        </is>
      </c>
      <c r="B18" s="20" t="inlineStr">
        <is>
          <t>Deal 1</t>
        </is>
      </c>
      <c r="D18" s="21" t="inlineStr">
        <is>
          <t>Choose Deal 1 or Deal 2</t>
        </is>
      </c>
      <c r="F18" s="22">
        <f>IF(14&lt;=$B$21,14,"")</f>
        <v/>
      </c>
      <c r="G18" s="23">
        <f>IF(F18="","",EDATE($B$23,F18-1))</f>
        <v/>
      </c>
      <c r="H18" s="24">
        <f>IF(F18="","",IF(F18=$B$21,$B$20-$B$22*($B$21-1),$B$22))</f>
        <v/>
      </c>
      <c r="I18" s="24">
        <f>IF(F18="","",IF(F18=$B$21,$B$19-ROUND($B$19/$B$21,2)*($B$21-1),ROUND($B$19/$B$21,2)))</f>
        <v/>
      </c>
      <c r="J18" s="24">
        <f>IF(F18="","",H18-I18)</f>
        <v/>
      </c>
      <c r="K18" s="24">
        <f>IF(F18="","",$B$20-SUM($H$5:H18))</f>
        <v/>
      </c>
    </row>
    <row r="19">
      <c r="A19" s="8" t="inlineStr">
        <is>
          <t>Schedule: purchase cost</t>
        </is>
      </c>
      <c r="B19" s="24">
        <f>IF($B$18="Deal 2",C7,B7)</f>
        <v/>
      </c>
      <c r="F19" s="22">
        <f>IF(15&lt;=$B$21,15,"")</f>
        <v/>
      </c>
      <c r="G19" s="23">
        <f>IF(F19="","",EDATE($B$23,F19-1))</f>
        <v/>
      </c>
      <c r="H19" s="24">
        <f>IF(F19="","",IF(F19=$B$21,$B$20-$B$22*($B$21-1),$B$22))</f>
        <v/>
      </c>
      <c r="I19" s="24">
        <f>IF(F19="","",IF(F19=$B$21,$B$19-ROUND($B$19/$B$21,2)*($B$21-1),ROUND($B$19/$B$21,2)))</f>
        <v/>
      </c>
      <c r="J19" s="24">
        <f>IF(F19="","",H19-I19)</f>
        <v/>
      </c>
      <c r="K19" s="24">
        <f>IF(F19="","",$B$20-SUM($H$5:H19))</f>
        <v/>
      </c>
    </row>
    <row r="20">
      <c r="A20" s="8" t="inlineStr">
        <is>
          <t>Schedule: sale price</t>
        </is>
      </c>
      <c r="B20" s="24">
        <f>IF($B$18="Deal 2",C15,B15)</f>
        <v/>
      </c>
      <c r="F20" s="22">
        <f>IF(16&lt;=$B$21,16,"")</f>
        <v/>
      </c>
      <c r="G20" s="23">
        <f>IF(F20="","",EDATE($B$23,F20-1))</f>
        <v/>
      </c>
      <c r="H20" s="24">
        <f>IF(F20="","",IF(F20=$B$21,$B$20-$B$22*($B$21-1),$B$22))</f>
        <v/>
      </c>
      <c r="I20" s="24">
        <f>IF(F20="","",IF(F20=$B$21,$B$19-ROUND($B$19/$B$21,2)*($B$21-1),ROUND($B$19/$B$21,2)))</f>
        <v/>
      </c>
      <c r="J20" s="24">
        <f>IF(F20="","",H20-I20)</f>
        <v/>
      </c>
      <c r="K20" s="24">
        <f>IF(F20="","",$B$20-SUM($H$5:H20))</f>
        <v/>
      </c>
    </row>
    <row r="21">
      <c r="A21" s="8" t="inlineStr">
        <is>
          <t>Schedule: number of installments</t>
        </is>
      </c>
      <c r="B21" s="22">
        <f>IF($B$18="Deal 2",C12,B12)</f>
        <v/>
      </c>
      <c r="F21" s="22">
        <f>IF(17&lt;=$B$21,17,"")</f>
        <v/>
      </c>
      <c r="G21" s="23">
        <f>IF(F21="","",EDATE($B$23,F21-1))</f>
        <v/>
      </c>
      <c r="H21" s="24">
        <f>IF(F21="","",IF(F21=$B$21,$B$20-$B$22*($B$21-1),$B$22))</f>
        <v/>
      </c>
      <c r="I21" s="24">
        <f>IF(F21="","",IF(F21=$B$21,$B$19-ROUND($B$19/$B$21,2)*($B$21-1),ROUND($B$19/$B$21,2)))</f>
        <v/>
      </c>
      <c r="J21" s="24">
        <f>IF(F21="","",H21-I21)</f>
        <v/>
      </c>
      <c r="K21" s="24">
        <f>IF(F21="","",$B$20-SUM($H$5:H21))</f>
        <v/>
      </c>
    </row>
    <row r="22">
      <c r="A22" s="8" t="inlineStr">
        <is>
          <t>Schedule: installment</t>
        </is>
      </c>
      <c r="B22" s="24">
        <f>IF($B$18="Deal 2",C16,B16)</f>
        <v/>
      </c>
      <c r="F22" s="22">
        <f>IF(18&lt;=$B$21,18,"")</f>
        <v/>
      </c>
      <c r="G22" s="23">
        <f>IF(F22="","",EDATE($B$23,F22-1))</f>
        <v/>
      </c>
      <c r="H22" s="24">
        <f>IF(F22="","",IF(F22=$B$21,$B$20-$B$22*($B$21-1),$B$22))</f>
        <v/>
      </c>
      <c r="I22" s="24">
        <f>IF(F22="","",IF(F22=$B$21,$B$19-ROUND($B$19/$B$21,2)*($B$21-1),ROUND($B$19/$B$21,2)))</f>
        <v/>
      </c>
      <c r="J22" s="24">
        <f>IF(F22="","",H22-I22)</f>
        <v/>
      </c>
      <c r="K22" s="24">
        <f>IF(F22="","",$B$20-SUM($H$5:H22))</f>
        <v/>
      </c>
    </row>
    <row r="23">
      <c r="A23" s="8" t="inlineStr">
        <is>
          <t>Schedule: first due date</t>
        </is>
      </c>
      <c r="B23" s="23">
        <f>IF($B$18="Deal 2",C13,B13)</f>
        <v/>
      </c>
      <c r="F23" s="22">
        <f>IF(19&lt;=$B$21,19,"")</f>
        <v/>
      </c>
      <c r="G23" s="23">
        <f>IF(F23="","",EDATE($B$23,F23-1))</f>
        <v/>
      </c>
      <c r="H23" s="24">
        <f>IF(F23="","",IF(F23=$B$21,$B$20-$B$22*($B$21-1),$B$22))</f>
        <v/>
      </c>
      <c r="I23" s="24">
        <f>IF(F23="","",IF(F23=$B$21,$B$19-ROUND($B$19/$B$21,2)*($B$21-1),ROUND($B$19/$B$21,2)))</f>
        <v/>
      </c>
      <c r="J23" s="24">
        <f>IF(F23="","",H23-I23)</f>
        <v/>
      </c>
      <c r="K23" s="24">
        <f>IF(F23="","",$B$20-SUM($H$5:H23))</f>
        <v/>
      </c>
    </row>
    <row r="24">
      <c r="F24" s="22">
        <f>IF(20&lt;=$B$21,20,"")</f>
        <v/>
      </c>
      <c r="G24" s="23">
        <f>IF(F24="","",EDATE($B$23,F24-1))</f>
        <v/>
      </c>
      <c r="H24" s="24">
        <f>IF(F24="","",IF(F24=$B$21,$B$20-$B$22*($B$21-1),$B$22))</f>
        <v/>
      </c>
      <c r="I24" s="24">
        <f>IF(F24="","",IF(F24=$B$21,$B$19-ROUND($B$19/$B$21,2)*($B$21-1),ROUND($B$19/$B$21,2)))</f>
        <v/>
      </c>
      <c r="J24" s="24">
        <f>IF(F24="","",H24-I24)</f>
        <v/>
      </c>
      <c r="K24" s="24">
        <f>IF(F24="","",$B$20-SUM($H$5:H24))</f>
        <v/>
      </c>
    </row>
    <row r="25">
      <c r="A25" s="5" t="inlineStr">
        <is>
          <t>Formula test: the outline's sample</t>
        </is>
      </c>
      <c r="F25" s="22">
        <f>IF(21&lt;=$B$21,21,"")</f>
        <v/>
      </c>
      <c r="G25" s="23">
        <f>IF(F25="","",EDATE($B$23,F25-1))</f>
        <v/>
      </c>
      <c r="H25" s="24">
        <f>IF(F25="","",IF(F25=$B$21,$B$20-$B$22*($B$21-1),$B$22))</f>
        <v/>
      </c>
      <c r="I25" s="24">
        <f>IF(F25="","",IF(F25=$B$21,$B$19-ROUND($B$19/$B$21,2)*($B$21-1),ROUND($B$19/$B$21,2)))</f>
        <v/>
      </c>
      <c r="J25" s="24">
        <f>IF(F25="","",H25-I25)</f>
        <v/>
      </c>
      <c r="K25" s="24">
        <f>IF(F25="","",$B$20-SUM($H$5:H25))</f>
        <v/>
      </c>
    </row>
    <row r="26">
      <c r="A26" s="8" t="inlineStr">
        <is>
          <t>Purchase cost (ETB)</t>
        </is>
      </c>
      <c r="B26" s="29" t="n">
        <v>600000</v>
      </c>
      <c r="C26" s="30" t="inlineStr">
        <is>
          <t>Fixed test values from the course outline: ETB 600,000 at 10% a year for 18 months gives a sale price of ETB 690,000.</t>
        </is>
      </c>
      <c r="F26" s="22">
        <f>IF(22&lt;=$B$21,22,"")</f>
        <v/>
      </c>
      <c r="G26" s="23">
        <f>IF(F26="","",EDATE($B$23,F26-1))</f>
        <v/>
      </c>
      <c r="H26" s="24">
        <f>IF(F26="","",IF(F26=$B$21,$B$20-$B$22*($B$21-1),$B$22))</f>
        <v/>
      </c>
      <c r="I26" s="24">
        <f>IF(F26="","",IF(F26=$B$21,$B$19-ROUND($B$19/$B$21,2)*($B$21-1),ROUND($B$19/$B$21,2)))</f>
        <v/>
      </c>
      <c r="J26" s="24">
        <f>IF(F26="","",H26-I26)</f>
        <v/>
      </c>
      <c r="K26" s="24">
        <f>IF(F26="","",$B$20-SUM($H$5:H26))</f>
        <v/>
      </c>
    </row>
    <row r="27">
      <c r="A27" s="8" t="inlineStr">
        <is>
          <t>Annual profit rate</t>
        </is>
      </c>
      <c r="B27" s="31" t="n">
        <v>0.1</v>
      </c>
      <c r="F27" s="22">
        <f>IF(23&lt;=$B$21,23,"")</f>
        <v/>
      </c>
      <c r="G27" s="23">
        <f>IF(F27="","",EDATE($B$23,F27-1))</f>
        <v/>
      </c>
      <c r="H27" s="24">
        <f>IF(F27="","",IF(F27=$B$21,$B$20-$B$22*($B$21-1),$B$22))</f>
        <v/>
      </c>
      <c r="I27" s="24">
        <f>IF(F27="","",IF(F27=$B$21,$B$19-ROUND($B$19/$B$21,2)*($B$21-1),ROUND($B$19/$B$21,2)))</f>
        <v/>
      </c>
      <c r="J27" s="24">
        <f>IF(F27="","",H27-I27)</f>
        <v/>
      </c>
      <c r="K27" s="24">
        <f>IF(F27="","",$B$20-SUM($H$5:H27))</f>
        <v/>
      </c>
    </row>
    <row r="28">
      <c r="A28" s="8" t="inlineStr">
        <is>
          <t>Months</t>
        </is>
      </c>
      <c r="B28" s="32" t="n">
        <v>18</v>
      </c>
      <c r="F28" s="22">
        <f>IF(24&lt;=$B$21,24,"")</f>
        <v/>
      </c>
      <c r="G28" s="23">
        <f>IF(F28="","",EDATE($B$23,F28-1))</f>
        <v/>
      </c>
      <c r="H28" s="24">
        <f>IF(F28="","",IF(F28=$B$21,$B$20-$B$22*($B$21-1),$B$22))</f>
        <v/>
      </c>
      <c r="I28" s="24">
        <f>IF(F28="","",IF(F28=$B$21,$B$19-ROUND($B$19/$B$21,2)*($B$21-1),ROUND($B$19/$B$21,2)))</f>
        <v/>
      </c>
      <c r="J28" s="24">
        <f>IF(F28="","",H28-I28)</f>
        <v/>
      </c>
      <c r="K28" s="24">
        <f>IF(F28="","",$B$20-SUM($H$5:H28))</f>
        <v/>
      </c>
    </row>
    <row r="29">
      <c r="A29" s="8" t="inlineStr">
        <is>
          <t>Profit</t>
        </is>
      </c>
      <c r="B29" s="24">
        <f>ROUND(B26*B27*B28/12,2)</f>
        <v/>
      </c>
      <c r="F29" s="22">
        <f>IF(25&lt;=$B$21,25,"")</f>
        <v/>
      </c>
      <c r="G29" s="23">
        <f>IF(F29="","",EDATE($B$23,F29-1))</f>
        <v/>
      </c>
      <c r="H29" s="24">
        <f>IF(F29="","",IF(F29=$B$21,$B$20-$B$22*($B$21-1),$B$22))</f>
        <v/>
      </c>
      <c r="I29" s="24">
        <f>IF(F29="","",IF(F29=$B$21,$B$19-ROUND($B$19/$B$21,2)*($B$21-1),ROUND($B$19/$B$21,2)))</f>
        <v/>
      </c>
      <c r="J29" s="24">
        <f>IF(F29="","",H29-I29)</f>
        <v/>
      </c>
      <c r="K29" s="24">
        <f>IF(F29="","",$B$20-SUM($H$5:H29))</f>
        <v/>
      </c>
    </row>
    <row r="30">
      <c r="A30" s="8" t="inlineStr">
        <is>
          <t>Sale price</t>
        </is>
      </c>
      <c r="B30" s="24">
        <f>B26+B29</f>
        <v/>
      </c>
      <c r="F30" s="22">
        <f>IF(26&lt;=$B$21,26,"")</f>
        <v/>
      </c>
      <c r="G30" s="23">
        <f>IF(F30="","",EDATE($B$23,F30-1))</f>
        <v/>
      </c>
      <c r="H30" s="24">
        <f>IF(F30="","",IF(F30=$B$21,$B$20-$B$22*($B$21-1),$B$22))</f>
        <v/>
      </c>
      <c r="I30" s="24">
        <f>IF(F30="","",IF(F30=$B$21,$B$19-ROUND($B$19/$B$21,2)*($B$21-1),ROUND($B$19/$B$21,2)))</f>
        <v/>
      </c>
      <c r="J30" s="24">
        <f>IF(F30="","",H30-I30)</f>
        <v/>
      </c>
      <c r="K30" s="24">
        <f>IF(F30="","",$B$20-SUM($H$5:H30))</f>
        <v/>
      </c>
    </row>
    <row r="31">
      <c r="A31" s="8" t="inlineStr">
        <is>
          <t>Equal monthly installment</t>
        </is>
      </c>
      <c r="B31" s="24">
        <f>ROUND(B30/B28,2)</f>
        <v/>
      </c>
      <c r="F31" s="22">
        <f>IF(27&lt;=$B$21,27,"")</f>
        <v/>
      </c>
      <c r="G31" s="23">
        <f>IF(F31="","",EDATE($B$23,F31-1))</f>
        <v/>
      </c>
      <c r="H31" s="24">
        <f>IF(F31="","",IF(F31=$B$21,$B$20-$B$22*($B$21-1),$B$22))</f>
        <v/>
      </c>
      <c r="I31" s="24">
        <f>IF(F31="","",IF(F31=$B$21,$B$19-ROUND($B$19/$B$21,2)*($B$21-1),ROUND($B$19/$B$21,2)))</f>
        <v/>
      </c>
      <c r="J31" s="24">
        <f>IF(F31="","",H31-I31)</f>
        <v/>
      </c>
      <c r="K31" s="24">
        <f>IF(F31="","",$B$20-SUM($H$5:H31))</f>
        <v/>
      </c>
    </row>
    <row r="32">
      <c r="A32" s="8" t="inlineStr">
        <is>
          <t>Test: sale price must be ETB 690,000</t>
        </is>
      </c>
      <c r="B32" s="33">
        <f>IF(ROUND(B30,2)=690000,"OK","Check the formula")</f>
        <v/>
      </c>
      <c r="F32" s="22">
        <f>IF(28&lt;=$B$21,28,"")</f>
        <v/>
      </c>
      <c r="G32" s="23">
        <f>IF(F32="","",EDATE($B$23,F32-1))</f>
        <v/>
      </c>
      <c r="H32" s="24">
        <f>IF(F32="","",IF(F32=$B$21,$B$20-$B$22*($B$21-1),$B$22))</f>
        <v/>
      </c>
      <c r="I32" s="24">
        <f>IF(F32="","",IF(F32=$B$21,$B$19-ROUND($B$19/$B$21,2)*($B$21-1),ROUND($B$19/$B$21,2)))</f>
        <v/>
      </c>
      <c r="J32" s="24">
        <f>IF(F32="","",H32-I32)</f>
        <v/>
      </c>
      <c r="K32" s="24">
        <f>IF(F32="","",$B$20-SUM($H$5:H32))</f>
        <v/>
      </c>
    </row>
    <row r="33">
      <c r="F33" s="22">
        <f>IF(29&lt;=$B$21,29,"")</f>
        <v/>
      </c>
      <c r="G33" s="23">
        <f>IF(F33="","",EDATE($B$23,F33-1))</f>
        <v/>
      </c>
      <c r="H33" s="24">
        <f>IF(F33="","",IF(F33=$B$21,$B$20-$B$22*($B$21-1),$B$22))</f>
        <v/>
      </c>
      <c r="I33" s="24">
        <f>IF(F33="","",IF(F33=$B$21,$B$19-ROUND($B$19/$B$21,2)*($B$21-1),ROUND($B$19/$B$21,2)))</f>
        <v/>
      </c>
      <c r="J33" s="24">
        <f>IF(F33="","",H33-I33)</f>
        <v/>
      </c>
      <c r="K33" s="24">
        <f>IF(F33="","",$B$20-SUM($H$5:H33))</f>
        <v/>
      </c>
    </row>
    <row r="34">
      <c r="A34" s="5" t="inlineStr">
        <is>
          <t>Block C: proceeds cover (Harar Highland, Deal 2)</t>
        </is>
      </c>
      <c r="F34" s="22">
        <f>IF(30&lt;=$B$21,30,"")</f>
        <v/>
      </c>
      <c r="G34" s="23">
        <f>IF(F34="","",EDATE($B$23,F34-1))</f>
        <v/>
      </c>
      <c r="H34" s="24">
        <f>IF(F34="","",IF(F34=$B$21,$B$20-$B$22*($B$21-1),$B$22))</f>
        <v/>
      </c>
      <c r="I34" s="24">
        <f>IF(F34="","",IF(F34=$B$21,$B$19-ROUND($B$19/$B$21,2)*($B$21-1),ROUND($B$19/$B$21,2)))</f>
        <v/>
      </c>
      <c r="J34" s="24">
        <f>IF(F34="","",H34-I34)</f>
        <v/>
      </c>
      <c r="K34" s="24">
        <f>IF(F34="","",$B$20-SUM($H$5:H34))</f>
        <v/>
      </c>
    </row>
    <row r="35">
      <c r="A35" s="8" t="inlineStr">
        <is>
          <t>Export quantity (kg)</t>
        </is>
      </c>
      <c r="B35" s="34" t="n">
        <v>36000</v>
      </c>
      <c r="F35" s="22">
        <f>IF(31&lt;=$B$21,31,"")</f>
        <v/>
      </c>
      <c r="G35" s="23">
        <f>IF(F35="","",EDATE($B$23,F35-1))</f>
        <v/>
      </c>
      <c r="H35" s="24">
        <f>IF(F35="","",IF(F35=$B$21,$B$20-$B$22*($B$21-1),$B$22))</f>
        <v/>
      </c>
      <c r="I35" s="24">
        <f>IF(F35="","",IF(F35=$B$21,$B$19-ROUND($B$19/$B$21,2)*($B$21-1),ROUND($B$19/$B$21,2)))</f>
        <v/>
      </c>
      <c r="J35" s="24">
        <f>IF(F35="","",H35-I35)</f>
        <v/>
      </c>
      <c r="K35" s="24">
        <f>IF(F35="","",$B$20-SUM($H$5:H35))</f>
        <v/>
      </c>
    </row>
    <row r="36">
      <c r="A36" s="8" t="inlineStr">
        <is>
          <t>Contract price (USD per kg, FOB Djibouti)</t>
        </is>
      </c>
      <c r="B36" s="35" t="n">
        <v>5.5</v>
      </c>
      <c r="F36" s="22">
        <f>IF(32&lt;=$B$21,32,"")</f>
        <v/>
      </c>
      <c r="G36" s="23">
        <f>IF(F36="","",EDATE($B$23,F36-1))</f>
        <v/>
      </c>
      <c r="H36" s="24">
        <f>IF(F36="","",IF(F36=$B$21,$B$20-$B$22*($B$21-1),$B$22))</f>
        <v/>
      </c>
      <c r="I36" s="24">
        <f>IF(F36="","",IF(F36=$B$21,$B$19-ROUND($B$19/$B$21,2)*($B$21-1),ROUND($B$19/$B$21,2)))</f>
        <v/>
      </c>
      <c r="J36" s="24">
        <f>IF(F36="","",H36-I36)</f>
        <v/>
      </c>
      <c r="K36" s="24">
        <f>IF(F36="","",$B$20-SUM($H$5:H36))</f>
        <v/>
      </c>
    </row>
    <row r="37">
      <c r="A37" s="8" t="inlineStr">
        <is>
          <t>Contract value (USD)</t>
        </is>
      </c>
      <c r="B37" s="36">
        <f>B35*B36</f>
        <v/>
      </c>
      <c r="F37" s="22">
        <f>IF(33&lt;=$B$21,33,"")</f>
        <v/>
      </c>
      <c r="G37" s="23">
        <f>IF(F37="","",EDATE($B$23,F37-1))</f>
        <v/>
      </c>
      <c r="H37" s="24">
        <f>IF(F37="","",IF(F37=$B$21,$B$20-$B$22*($B$21-1),$B$22))</f>
        <v/>
      </c>
      <c r="I37" s="24">
        <f>IF(F37="","",IF(F37=$B$21,$B$19-ROUND($B$19/$B$21,2)*($B$21-1),ROUND($B$19/$B$21,2)))</f>
        <v/>
      </c>
      <c r="J37" s="24">
        <f>IF(F37="","",H37-I37)</f>
        <v/>
      </c>
      <c r="K37" s="24">
        <f>IF(F37="","",$B$20-SUM($H$5:H37))</f>
        <v/>
      </c>
    </row>
    <row r="38">
      <c r="A38" s="8" t="inlineStr">
        <is>
          <t>Exchange rate (ETB per USD)</t>
        </is>
      </c>
      <c r="B38" s="24">
        <f>FX_Rate_Illustrative</f>
        <v/>
      </c>
      <c r="C38" s="21" t="inlineStr">
        <is>
          <t>From the Assumptions sheet</t>
        </is>
      </c>
      <c r="F38" s="22">
        <f>IF(34&lt;=$B$21,34,"")</f>
        <v/>
      </c>
      <c r="G38" s="23">
        <f>IF(F38="","",EDATE($B$23,F38-1))</f>
        <v/>
      </c>
      <c r="H38" s="24">
        <f>IF(F38="","",IF(F38=$B$21,$B$20-$B$22*($B$21-1),$B$22))</f>
        <v/>
      </c>
      <c r="I38" s="24">
        <f>IF(F38="","",IF(F38=$B$21,$B$19-ROUND($B$19/$B$21,2)*($B$21-1),ROUND($B$19/$B$21,2)))</f>
        <v/>
      </c>
      <c r="J38" s="24">
        <f>IF(F38="","",H38-I38)</f>
        <v/>
      </c>
      <c r="K38" s="24">
        <f>IF(F38="","",$B$20-SUM($H$5:H38))</f>
        <v/>
      </c>
    </row>
    <row r="39">
      <c r="A39" s="8" t="inlineStr">
        <is>
          <t>Proceeds in ETB</t>
        </is>
      </c>
      <c r="B39" s="24">
        <f>B37*B38</f>
        <v/>
      </c>
      <c r="F39" s="22">
        <f>IF(35&lt;=$B$21,35,"")</f>
        <v/>
      </c>
      <c r="G39" s="23">
        <f>IF(F39="","",EDATE($B$23,F39-1))</f>
        <v/>
      </c>
      <c r="H39" s="24">
        <f>IF(F39="","",IF(F39=$B$21,$B$20-$B$22*($B$21-1),$B$22))</f>
        <v/>
      </c>
      <c r="I39" s="24">
        <f>IF(F39="","",IF(F39=$B$21,$B$19-ROUND($B$19/$B$21,2)*($B$21-1),ROUND($B$19/$B$21,2)))</f>
        <v/>
      </c>
      <c r="J39" s="24">
        <f>IF(F39="","",H39-I39)</f>
        <v/>
      </c>
      <c r="K39" s="24">
        <f>IF(F39="","",$B$20-SUM($H$5:H39))</f>
        <v/>
      </c>
    </row>
    <row r="40">
      <c r="A40" s="8" t="inlineStr">
        <is>
          <t>Sale price due (Deal 2)</t>
        </is>
      </c>
      <c r="B40" s="24">
        <f>C15</f>
        <v/>
      </c>
      <c r="F40" s="22">
        <f>IF(36&lt;=$B$21,36,"")</f>
        <v/>
      </c>
      <c r="G40" s="23">
        <f>IF(F40="","",EDATE($B$23,F40-1))</f>
        <v/>
      </c>
      <c r="H40" s="24">
        <f>IF(F40="","",IF(F40=$B$21,$B$20-$B$22*($B$21-1),$B$22))</f>
        <v/>
      </c>
      <c r="I40" s="24">
        <f>IF(F40="","",IF(F40=$B$21,$B$19-ROUND($B$19/$B$21,2)*($B$21-1),ROUND($B$19/$B$21,2)))</f>
        <v/>
      </c>
      <c r="J40" s="24">
        <f>IF(F40="","",H40-I40)</f>
        <v/>
      </c>
      <c r="K40" s="24">
        <f>IF(F40="","",$B$20-SUM($H$5:H40))</f>
        <v/>
      </c>
    </row>
    <row r="41">
      <c r="A41" s="8" t="inlineStr">
        <is>
          <t>Proceeds cover</t>
        </is>
      </c>
      <c r="B41" s="37">
        <f>B39/B40</f>
        <v/>
      </c>
      <c r="F41" s="22">
        <f>IF(37&lt;=$B$21,37,"")</f>
        <v/>
      </c>
      <c r="G41" s="23">
        <f>IF(F41="","",EDATE($B$23,F41-1))</f>
        <v/>
      </c>
      <c r="H41" s="24">
        <f>IF(F41="","",IF(F41=$B$21,$B$20-$B$22*($B$21-1),$B$22))</f>
        <v/>
      </c>
      <c r="I41" s="24">
        <f>IF(F41="","",IF(F41=$B$21,$B$19-ROUND($B$19/$B$21,2)*($B$21-1),ROUND($B$19/$B$21,2)))</f>
        <v/>
      </c>
      <c r="J41" s="24">
        <f>IF(F41="","",H41-I41)</f>
        <v/>
      </c>
      <c r="K41" s="24">
        <f>IF(F41="","",$B$20-SUM($H$5:H41))</f>
        <v/>
      </c>
    </row>
    <row r="42">
      <c r="A42" s="8" t="inlineStr">
        <is>
          <t>Cover flag</t>
        </is>
      </c>
      <c r="B42" s="33">
        <f>IF(B41&lt;Cover_Min,"Thin cover","Adequate")</f>
        <v/>
      </c>
      <c r="C42" s="21" t="inlineStr">
        <is>
          <t>Thin cover below 1.10x</t>
        </is>
      </c>
      <c r="F42" s="22">
        <f>IF(38&lt;=$B$21,38,"")</f>
        <v/>
      </c>
      <c r="G42" s="23">
        <f>IF(F42="","",EDATE($B$23,F42-1))</f>
        <v/>
      </c>
      <c r="H42" s="24">
        <f>IF(F42="","",IF(F42=$B$21,$B$20-$B$22*($B$21-1),$B$22))</f>
        <v/>
      </c>
      <c r="I42" s="24">
        <f>IF(F42="","",IF(F42=$B$21,$B$19-ROUND($B$19/$B$21,2)*($B$21-1),ROUND($B$19/$B$21,2)))</f>
        <v/>
      </c>
      <c r="J42" s="24">
        <f>IF(F42="","",H42-I42)</f>
        <v/>
      </c>
      <c r="K42" s="24">
        <f>IF(F42="","",$B$20-SUM($H$5:H42))</f>
        <v/>
      </c>
    </row>
    <row r="43">
      <c r="A43" s="8" t="inlineStr">
        <is>
          <t>Stress: change in coffee price</t>
        </is>
      </c>
      <c r="B43" s="16" t="n">
        <v>-0.1</v>
      </c>
      <c r="F43" s="22">
        <f>IF(39&lt;=$B$21,39,"")</f>
        <v/>
      </c>
      <c r="G43" s="23">
        <f>IF(F43="","",EDATE($B$23,F43-1))</f>
        <v/>
      </c>
      <c r="H43" s="24">
        <f>IF(F43="","",IF(F43=$B$21,$B$20-$B$22*($B$21-1),$B$22))</f>
        <v/>
      </c>
      <c r="I43" s="24">
        <f>IF(F43="","",IF(F43=$B$21,$B$19-ROUND($B$19/$B$21,2)*($B$21-1),ROUND($B$19/$B$21,2)))</f>
        <v/>
      </c>
      <c r="J43" s="24">
        <f>IF(F43="","",H43-I43)</f>
        <v/>
      </c>
      <c r="K43" s="24">
        <f>IF(F43="","",$B$20-SUM($H$5:H43))</f>
        <v/>
      </c>
    </row>
    <row r="44">
      <c r="A44" s="8" t="inlineStr">
        <is>
          <t>Stressed proceeds in ETB</t>
        </is>
      </c>
      <c r="B44" s="24">
        <f>B39*(1+B43)</f>
        <v/>
      </c>
      <c r="F44" s="22">
        <f>IF(40&lt;=$B$21,40,"")</f>
        <v/>
      </c>
      <c r="G44" s="23">
        <f>IF(F44="","",EDATE($B$23,F44-1))</f>
        <v/>
      </c>
      <c r="H44" s="24">
        <f>IF(F44="","",IF(F44=$B$21,$B$20-$B$22*($B$21-1),$B$22))</f>
        <v/>
      </c>
      <c r="I44" s="24">
        <f>IF(F44="","",IF(F44=$B$21,$B$19-ROUND($B$19/$B$21,2)*($B$21-1),ROUND($B$19/$B$21,2)))</f>
        <v/>
      </c>
      <c r="J44" s="24">
        <f>IF(F44="","",H44-I44)</f>
        <v/>
      </c>
      <c r="K44" s="24">
        <f>IF(F44="","",$B$20-SUM($H$5:H44))</f>
        <v/>
      </c>
    </row>
    <row r="45">
      <c r="A45" s="8" t="inlineStr">
        <is>
          <t>Stressed cover</t>
        </is>
      </c>
      <c r="B45" s="37">
        <f>B44/B40</f>
        <v/>
      </c>
      <c r="F45" s="22">
        <f>IF(41&lt;=$B$21,41,"")</f>
        <v/>
      </c>
      <c r="G45" s="23">
        <f>IF(F45="","",EDATE($B$23,F45-1))</f>
        <v/>
      </c>
      <c r="H45" s="24">
        <f>IF(F45="","",IF(F45=$B$21,$B$20-$B$22*($B$21-1),$B$22))</f>
        <v/>
      </c>
      <c r="I45" s="24">
        <f>IF(F45="","",IF(F45=$B$21,$B$19-ROUND($B$19/$B$21,2)*($B$21-1),ROUND($B$19/$B$21,2)))</f>
        <v/>
      </c>
      <c r="J45" s="24">
        <f>IF(F45="","",H45-I45)</f>
        <v/>
      </c>
      <c r="K45" s="24">
        <f>IF(F45="","",$B$20-SUM($H$5:H45))</f>
        <v/>
      </c>
    </row>
    <row r="46">
      <c r="A46" s="8" t="inlineStr">
        <is>
          <t>Stressed cover flag</t>
        </is>
      </c>
      <c r="B46" s="33">
        <f>IF(B45&lt;Cover_Min,"Thin cover","Adequate")</f>
        <v/>
      </c>
      <c r="F46" s="22">
        <f>IF(42&lt;=$B$21,42,"")</f>
        <v/>
      </c>
      <c r="G46" s="23">
        <f>IF(F46="","",EDATE($B$23,F46-1))</f>
        <v/>
      </c>
      <c r="H46" s="24">
        <f>IF(F46="","",IF(F46=$B$21,$B$20-$B$22*($B$21-1),$B$22))</f>
        <v/>
      </c>
      <c r="I46" s="24">
        <f>IF(F46="","",IF(F46=$B$21,$B$19-ROUND($B$19/$B$21,2)*($B$21-1),ROUND($B$19/$B$21,2)))</f>
        <v/>
      </c>
      <c r="J46" s="24">
        <f>IF(F46="","",H46-I46)</f>
        <v/>
      </c>
      <c r="K46" s="24">
        <f>IF(F46="","",$B$20-SUM($H$5:H46))</f>
        <v/>
      </c>
    </row>
    <row r="47">
      <c r="F47" s="22">
        <f>IF(43&lt;=$B$21,43,"")</f>
        <v/>
      </c>
      <c r="G47" s="23">
        <f>IF(F47="","",EDATE($B$23,F47-1))</f>
        <v/>
      </c>
      <c r="H47" s="24">
        <f>IF(F47="","",IF(F47=$B$21,$B$20-$B$22*($B$21-1),$B$22))</f>
        <v/>
      </c>
      <c r="I47" s="24">
        <f>IF(F47="","",IF(F47=$B$21,$B$19-ROUND($B$19/$B$21,2)*($B$21-1),ROUND($B$19/$B$21,2)))</f>
        <v/>
      </c>
      <c r="J47" s="24">
        <f>IF(F47="","",H47-I47)</f>
        <v/>
      </c>
      <c r="K47" s="24">
        <f>IF(F47="","",$B$20-SUM($H$5:H47))</f>
        <v/>
      </c>
    </row>
    <row r="48">
      <c r="F48" s="22">
        <f>IF(44&lt;=$B$21,44,"")</f>
        <v/>
      </c>
      <c r="G48" s="23">
        <f>IF(F48="","",EDATE($B$23,F48-1))</f>
        <v/>
      </c>
      <c r="H48" s="24">
        <f>IF(F48="","",IF(F48=$B$21,$B$20-$B$22*($B$21-1),$B$22))</f>
        <v/>
      </c>
      <c r="I48" s="24">
        <f>IF(F48="","",IF(F48=$B$21,$B$19-ROUND($B$19/$B$21,2)*($B$21-1),ROUND($B$19/$B$21,2)))</f>
        <v/>
      </c>
      <c r="J48" s="24">
        <f>IF(F48="","",H48-I48)</f>
        <v/>
      </c>
      <c r="K48" s="24">
        <f>IF(F48="","",$B$20-SUM($H$5:H48))</f>
        <v/>
      </c>
    </row>
    <row r="49">
      <c r="F49" s="22">
        <f>IF(45&lt;=$B$21,45,"")</f>
        <v/>
      </c>
      <c r="G49" s="23">
        <f>IF(F49="","",EDATE($B$23,F49-1))</f>
        <v/>
      </c>
      <c r="H49" s="24">
        <f>IF(F49="","",IF(F49=$B$21,$B$20-$B$22*($B$21-1),$B$22))</f>
        <v/>
      </c>
      <c r="I49" s="24">
        <f>IF(F49="","",IF(F49=$B$21,$B$19-ROUND($B$19/$B$21,2)*($B$21-1),ROUND($B$19/$B$21,2)))</f>
        <v/>
      </c>
      <c r="J49" s="24">
        <f>IF(F49="","",H49-I49)</f>
        <v/>
      </c>
      <c r="K49" s="24">
        <f>IF(F49="","",$B$20-SUM($H$5:H49))</f>
        <v/>
      </c>
    </row>
    <row r="50">
      <c r="F50" s="22">
        <f>IF(46&lt;=$B$21,46,"")</f>
        <v/>
      </c>
      <c r="G50" s="23">
        <f>IF(F50="","",EDATE($B$23,F50-1))</f>
        <v/>
      </c>
      <c r="H50" s="24">
        <f>IF(F50="","",IF(F50=$B$21,$B$20-$B$22*($B$21-1),$B$22))</f>
        <v/>
      </c>
      <c r="I50" s="24">
        <f>IF(F50="","",IF(F50=$B$21,$B$19-ROUND($B$19/$B$21,2)*($B$21-1),ROUND($B$19/$B$21,2)))</f>
        <v/>
      </c>
      <c r="J50" s="24">
        <f>IF(F50="","",H50-I50)</f>
        <v/>
      </c>
      <c r="K50" s="24">
        <f>IF(F50="","",$B$20-SUM($H$5:H50))</f>
        <v/>
      </c>
    </row>
    <row r="51">
      <c r="F51" s="22">
        <f>IF(47&lt;=$B$21,47,"")</f>
        <v/>
      </c>
      <c r="G51" s="23">
        <f>IF(F51="","",EDATE($B$23,F51-1))</f>
        <v/>
      </c>
      <c r="H51" s="24">
        <f>IF(F51="","",IF(F51=$B$21,$B$20-$B$22*($B$21-1),$B$22))</f>
        <v/>
      </c>
      <c r="I51" s="24">
        <f>IF(F51="","",IF(F51=$B$21,$B$19-ROUND($B$19/$B$21,2)*($B$21-1),ROUND($B$19/$B$21,2)))</f>
        <v/>
      </c>
      <c r="J51" s="24">
        <f>IF(F51="","",H51-I51)</f>
        <v/>
      </c>
      <c r="K51" s="24">
        <f>IF(F51="","",$B$20-SUM($H$5:H51))</f>
        <v/>
      </c>
    </row>
    <row r="52">
      <c r="F52" s="22">
        <f>IF(48&lt;=$B$21,48,"")</f>
        <v/>
      </c>
      <c r="G52" s="23">
        <f>IF(F52="","",EDATE($B$23,F52-1))</f>
        <v/>
      </c>
      <c r="H52" s="24">
        <f>IF(F52="","",IF(F52=$B$21,$B$20-$B$22*($B$21-1),$B$22))</f>
        <v/>
      </c>
      <c r="I52" s="24">
        <f>IF(F52="","",IF(F52=$B$21,$B$19-ROUND($B$19/$B$21,2)*($B$21-1),ROUND($B$19/$B$21,2)))</f>
        <v/>
      </c>
      <c r="J52" s="24">
        <f>IF(F52="","",H52-I52)</f>
        <v/>
      </c>
      <c r="K52" s="24">
        <f>IF(F52="","",$B$20-SUM($H$5:H52))</f>
        <v/>
      </c>
    </row>
    <row r="53">
      <c r="F53" s="22">
        <f>IF(49&lt;=$B$21,49,"")</f>
        <v/>
      </c>
      <c r="G53" s="23">
        <f>IF(F53="","",EDATE($B$23,F53-1))</f>
        <v/>
      </c>
      <c r="H53" s="24">
        <f>IF(F53="","",IF(F53=$B$21,$B$20-$B$22*($B$21-1),$B$22))</f>
        <v/>
      </c>
      <c r="I53" s="24">
        <f>IF(F53="","",IF(F53=$B$21,$B$19-ROUND($B$19/$B$21,2)*($B$21-1),ROUND($B$19/$B$21,2)))</f>
        <v/>
      </c>
      <c r="J53" s="24">
        <f>IF(F53="","",H53-I53)</f>
        <v/>
      </c>
      <c r="K53" s="24">
        <f>IF(F53="","",$B$20-SUM($H$5:H53))</f>
        <v/>
      </c>
    </row>
    <row r="54">
      <c r="F54" s="22">
        <f>IF(50&lt;=$B$21,50,"")</f>
        <v/>
      </c>
      <c r="G54" s="23">
        <f>IF(F54="","",EDATE($B$23,F54-1))</f>
        <v/>
      </c>
      <c r="H54" s="24">
        <f>IF(F54="","",IF(F54=$B$21,$B$20-$B$22*($B$21-1),$B$22))</f>
        <v/>
      </c>
      <c r="I54" s="24">
        <f>IF(F54="","",IF(F54=$B$21,$B$19-ROUND($B$19/$B$21,2)*($B$21-1),ROUND($B$19/$B$21,2)))</f>
        <v/>
      </c>
      <c r="J54" s="24">
        <f>IF(F54="","",H54-I54)</f>
        <v/>
      </c>
      <c r="K54" s="24">
        <f>IF(F54="","",$B$20-SUM($H$5:H54))</f>
        <v/>
      </c>
    </row>
    <row r="55">
      <c r="F55" s="22">
        <f>IF(51&lt;=$B$21,51,"")</f>
        <v/>
      </c>
      <c r="G55" s="23">
        <f>IF(F55="","",EDATE($B$23,F55-1))</f>
        <v/>
      </c>
      <c r="H55" s="24">
        <f>IF(F55="","",IF(F55=$B$21,$B$20-$B$22*($B$21-1),$B$22))</f>
        <v/>
      </c>
      <c r="I55" s="24">
        <f>IF(F55="","",IF(F55=$B$21,$B$19-ROUND($B$19/$B$21,2)*($B$21-1),ROUND($B$19/$B$21,2)))</f>
        <v/>
      </c>
      <c r="J55" s="24">
        <f>IF(F55="","",H55-I55)</f>
        <v/>
      </c>
      <c r="K55" s="24">
        <f>IF(F55="","",$B$20-SUM($H$5:H55))</f>
        <v/>
      </c>
    </row>
    <row r="56">
      <c r="F56" s="22">
        <f>IF(52&lt;=$B$21,52,"")</f>
        <v/>
      </c>
      <c r="G56" s="23">
        <f>IF(F56="","",EDATE($B$23,F56-1))</f>
        <v/>
      </c>
      <c r="H56" s="24">
        <f>IF(F56="","",IF(F56=$B$21,$B$20-$B$22*($B$21-1),$B$22))</f>
        <v/>
      </c>
      <c r="I56" s="24">
        <f>IF(F56="","",IF(F56=$B$21,$B$19-ROUND($B$19/$B$21,2)*($B$21-1),ROUND($B$19/$B$21,2)))</f>
        <v/>
      </c>
      <c r="J56" s="24">
        <f>IF(F56="","",H56-I56)</f>
        <v/>
      </c>
      <c r="K56" s="24">
        <f>IF(F56="","",$B$20-SUM($H$5:H56))</f>
        <v/>
      </c>
    </row>
    <row r="57">
      <c r="F57" s="22">
        <f>IF(53&lt;=$B$21,53,"")</f>
        <v/>
      </c>
      <c r="G57" s="23">
        <f>IF(F57="","",EDATE($B$23,F57-1))</f>
        <v/>
      </c>
      <c r="H57" s="24">
        <f>IF(F57="","",IF(F57=$B$21,$B$20-$B$22*($B$21-1),$B$22))</f>
        <v/>
      </c>
      <c r="I57" s="24">
        <f>IF(F57="","",IF(F57=$B$21,$B$19-ROUND($B$19/$B$21,2)*($B$21-1),ROUND($B$19/$B$21,2)))</f>
        <v/>
      </c>
      <c r="J57" s="24">
        <f>IF(F57="","",H57-I57)</f>
        <v/>
      </c>
      <c r="K57" s="24">
        <f>IF(F57="","",$B$20-SUM($H$5:H57))</f>
        <v/>
      </c>
    </row>
    <row r="58">
      <c r="F58" s="22">
        <f>IF(54&lt;=$B$21,54,"")</f>
        <v/>
      </c>
      <c r="G58" s="23">
        <f>IF(F58="","",EDATE($B$23,F58-1))</f>
        <v/>
      </c>
      <c r="H58" s="24">
        <f>IF(F58="","",IF(F58=$B$21,$B$20-$B$22*($B$21-1),$B$22))</f>
        <v/>
      </c>
      <c r="I58" s="24">
        <f>IF(F58="","",IF(F58=$B$21,$B$19-ROUND($B$19/$B$21,2)*($B$21-1),ROUND($B$19/$B$21,2)))</f>
        <v/>
      </c>
      <c r="J58" s="24">
        <f>IF(F58="","",H58-I58)</f>
        <v/>
      </c>
      <c r="K58" s="24">
        <f>IF(F58="","",$B$20-SUM($H$5:H58))</f>
        <v/>
      </c>
    </row>
    <row r="59">
      <c r="F59" s="22">
        <f>IF(55&lt;=$B$21,55,"")</f>
        <v/>
      </c>
      <c r="G59" s="23">
        <f>IF(F59="","",EDATE($B$23,F59-1))</f>
        <v/>
      </c>
      <c r="H59" s="24">
        <f>IF(F59="","",IF(F59=$B$21,$B$20-$B$22*($B$21-1),$B$22))</f>
        <v/>
      </c>
      <c r="I59" s="24">
        <f>IF(F59="","",IF(F59=$B$21,$B$19-ROUND($B$19/$B$21,2)*($B$21-1),ROUND($B$19/$B$21,2)))</f>
        <v/>
      </c>
      <c r="J59" s="24">
        <f>IF(F59="","",H59-I59)</f>
        <v/>
      </c>
      <c r="K59" s="24">
        <f>IF(F59="","",$B$20-SUM($H$5:H59))</f>
        <v/>
      </c>
    </row>
    <row r="60">
      <c r="F60" s="22">
        <f>IF(56&lt;=$B$21,56,"")</f>
        <v/>
      </c>
      <c r="G60" s="23">
        <f>IF(F60="","",EDATE($B$23,F60-1))</f>
        <v/>
      </c>
      <c r="H60" s="24">
        <f>IF(F60="","",IF(F60=$B$21,$B$20-$B$22*($B$21-1),$B$22))</f>
        <v/>
      </c>
      <c r="I60" s="24">
        <f>IF(F60="","",IF(F60=$B$21,$B$19-ROUND($B$19/$B$21,2)*($B$21-1),ROUND($B$19/$B$21,2)))</f>
        <v/>
      </c>
      <c r="J60" s="24">
        <f>IF(F60="","",H60-I60)</f>
        <v/>
      </c>
      <c r="K60" s="24">
        <f>IF(F60="","",$B$20-SUM($H$5:H60))</f>
        <v/>
      </c>
    </row>
    <row r="61">
      <c r="F61" s="22">
        <f>IF(57&lt;=$B$21,57,"")</f>
        <v/>
      </c>
      <c r="G61" s="23">
        <f>IF(F61="","",EDATE($B$23,F61-1))</f>
        <v/>
      </c>
      <c r="H61" s="24">
        <f>IF(F61="","",IF(F61=$B$21,$B$20-$B$22*($B$21-1),$B$22))</f>
        <v/>
      </c>
      <c r="I61" s="24">
        <f>IF(F61="","",IF(F61=$B$21,$B$19-ROUND($B$19/$B$21,2)*($B$21-1),ROUND($B$19/$B$21,2)))</f>
        <v/>
      </c>
      <c r="J61" s="24">
        <f>IF(F61="","",H61-I61)</f>
        <v/>
      </c>
      <c r="K61" s="24">
        <f>IF(F61="","",$B$20-SUM($H$5:H61))</f>
        <v/>
      </c>
    </row>
    <row r="62">
      <c r="F62" s="22">
        <f>IF(58&lt;=$B$21,58,"")</f>
        <v/>
      </c>
      <c r="G62" s="23">
        <f>IF(F62="","",EDATE($B$23,F62-1))</f>
        <v/>
      </c>
      <c r="H62" s="24">
        <f>IF(F62="","",IF(F62=$B$21,$B$20-$B$22*($B$21-1),$B$22))</f>
        <v/>
      </c>
      <c r="I62" s="24">
        <f>IF(F62="","",IF(F62=$B$21,$B$19-ROUND($B$19/$B$21,2)*($B$21-1),ROUND($B$19/$B$21,2)))</f>
        <v/>
      </c>
      <c r="J62" s="24">
        <f>IF(F62="","",H62-I62)</f>
        <v/>
      </c>
      <c r="K62" s="24">
        <f>IF(F62="","",$B$20-SUM($H$5:H62))</f>
        <v/>
      </c>
    </row>
    <row r="63">
      <c r="F63" s="22">
        <f>IF(59&lt;=$B$21,59,"")</f>
        <v/>
      </c>
      <c r="G63" s="23">
        <f>IF(F63="","",EDATE($B$23,F63-1))</f>
        <v/>
      </c>
      <c r="H63" s="24">
        <f>IF(F63="","",IF(F63=$B$21,$B$20-$B$22*($B$21-1),$B$22))</f>
        <v/>
      </c>
      <c r="I63" s="24">
        <f>IF(F63="","",IF(F63=$B$21,$B$19-ROUND($B$19/$B$21,2)*($B$21-1),ROUND($B$19/$B$21,2)))</f>
        <v/>
      </c>
      <c r="J63" s="24">
        <f>IF(F63="","",H63-I63)</f>
        <v/>
      </c>
      <c r="K63" s="24">
        <f>IF(F63="","",$B$20-SUM($H$5:H63))</f>
        <v/>
      </c>
    </row>
    <row r="64">
      <c r="F64" s="22">
        <f>IF(60&lt;=$B$21,60,"")</f>
        <v/>
      </c>
      <c r="G64" s="23">
        <f>IF(F64="","",EDATE($B$23,F64-1))</f>
        <v/>
      </c>
      <c r="H64" s="24">
        <f>IF(F64="","",IF(F64=$B$21,$B$20-$B$22*($B$21-1),$B$22))</f>
        <v/>
      </c>
      <c r="I64" s="24">
        <f>IF(F64="","",IF(F64=$B$21,$B$19-ROUND($B$19/$B$21,2)*($B$21-1),ROUND($B$19/$B$21,2)))</f>
        <v/>
      </c>
      <c r="J64" s="24">
        <f>IF(F64="","",H64-I64)</f>
        <v/>
      </c>
      <c r="K64" s="24">
        <f>IF(F64="","",$B$20-SUM($H$5:H64))</f>
        <v/>
      </c>
    </row>
    <row r="65">
      <c r="F65" s="38" t="inlineStr">
        <is>
          <t>Total</t>
        </is>
      </c>
      <c r="G65" s="39" t="n"/>
      <c r="H65" s="40">
        <f>SUM(H5:H64)</f>
        <v/>
      </c>
      <c r="I65" s="40">
        <f>SUM(I5:I64)</f>
        <v/>
      </c>
      <c r="J65" s="40">
        <f>SUM(J5:J64)</f>
        <v/>
      </c>
      <c r="K65" s="38" t="inlineStr"/>
    </row>
    <row r="66">
      <c r="F66" s="8" t="inlineStr">
        <is>
          <t>Check: totals equal the sale price and the cost</t>
        </is>
      </c>
      <c r="G66" s="41" t="n"/>
      <c r="H66" s="41" t="n"/>
      <c r="I66" s="41" t="n"/>
      <c r="J66" s="42" t="n"/>
      <c r="K66" s="43">
        <f>IF(AND(ROUND(H65-B20,2)=0,ROUND(I65-B19,2)=0),"Balanced","Check")</f>
        <v/>
      </c>
    </row>
    <row r="67"/>
    <row r="68">
      <c r="A68" s="10" t="inlineStr">
        <is>
          <t>Illustrative rates only. Use your bank's board-approved pricing; the host bank's Sharia'h Advisory Committee rulings and IFB policy take precedence.</t>
        </is>
      </c>
      <c r="B68" s="11" t="n"/>
      <c r="C68" s="11" t="n"/>
      <c r="D68" s="11" t="n"/>
      <c r="E68" s="11" t="n"/>
      <c r="F68" s="11" t="n"/>
      <c r="G68" s="11" t="n"/>
      <c r="H68" s="11" t="n"/>
      <c r="I68" s="11" t="n"/>
      <c r="J68" s="11" t="n"/>
      <c r="K68" s="11" t="n"/>
    </row>
  </sheetData>
  <mergeCells count="7">
    <mergeCell ref="F66:J66"/>
    <mergeCell ref="C38:D38"/>
    <mergeCell ref="F65:G65"/>
    <mergeCell ref="C42:D42"/>
    <mergeCell ref="A2:K2"/>
    <mergeCell ref="C26:D28"/>
    <mergeCell ref="A68:K68"/>
  </mergeCells>
  <conditionalFormatting sqref="B42 B46">
    <cfRule type="cellIs" priority="1" operator="equal" dxfId="0">
      <formula>"Thin cover"</formula>
    </cfRule>
  </conditionalFormatting>
  <conditionalFormatting sqref="K66">
    <cfRule type="cellIs" priority="2" operator="equal" dxfId="0">
      <formula>"Check"</formula>
    </cfRule>
    <cfRule type="cellIs" priority="3" operator="equal" dxfId="1">
      <formula>"Balanced"</formula>
    </cfRule>
  </conditionalFormatting>
  <dataValidations count="2">
    <dataValidation sqref="B8:C8" showDropDown="0" showInputMessage="0" showErrorMessage="0" allowBlank="1" errorTitle="Invalid entry" error="Choose a value from the list." type="list">
      <formula1>=Basis_Names</formula1>
    </dataValidation>
    <dataValidation sqref="B18" showDropDown="0" showInputMessage="0" showErrorMessage="0" allowBlank="1" errorTitle="Invalid entry" error="Choose a value from the list." type="list">
      <formula1>"Deal 1,Deal 2"</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4.xml><?xml version="1.0" encoding="utf-8"?>
<worksheet xmlns="http://schemas.openxmlformats.org/spreadsheetml/2006/main">
  <sheetPr>
    <tabColor rgb="000F4C3A"/>
    <outlinePr summaryBelow="1" summaryRight="1"/>
    <pageSetUpPr fitToPage="1"/>
  </sheetPr>
  <dimension ref="A1:I48"/>
  <sheetViews>
    <sheetView showGridLines="0" workbookViewId="0">
      <pane ySplit="4" topLeftCell="A5" activePane="bottomLeft" state="frozen"/>
      <selection pane="bottomLeft" activeCell="A1" sqref="A1"/>
    </sheetView>
  </sheetViews>
  <sheetFormatPr baseColWidth="8" defaultRowHeight="15"/>
  <cols>
    <col width="40" customWidth="1" min="1" max="1"/>
    <col width="30" customWidth="1" min="2" max="2"/>
    <col width="12" customWidth="1" min="3" max="3"/>
    <col width="18" customWidth="1" min="4" max="4"/>
    <col width="16" customWidth="1" min="5" max="5"/>
    <col width="16" customWidth="1" min="6" max="6"/>
    <col width="16" customWidth="1" min="7" max="7"/>
    <col width="16" customWidth="1" min="8" max="8"/>
    <col width="18" customWidth="1" min="9" max="9"/>
  </cols>
  <sheetData>
    <row r="1" ht="26" customHeight="1">
      <c r="A1" s="1" t="inlineStr">
        <is>
          <t>Ijarah: rental schedule with an agreed rent review (Dechatu Garment Works PLC)</t>
        </is>
      </c>
      <c r="B1" s="2" t="n"/>
      <c r="C1" s="2" t="n"/>
      <c r="D1" s="2" t="n"/>
      <c r="E1" s="2" t="n"/>
      <c r="F1" s="2" t="n"/>
      <c r="G1" s="2" t="n"/>
      <c r="H1" s="2" t="n"/>
      <c r="I1" s="2" t="n"/>
    </row>
    <row r="2">
      <c r="A2" s="13" t="inlineStr">
        <is>
          <t>Rent each year = capital portion + profit rate x unrecovered cost at the start of the year. Rent starts at delivery.</t>
        </is>
      </c>
    </row>
    <row r="3"/>
    <row r="4" ht="20" customHeight="1">
      <c r="A4" s="6" t="inlineStr">
        <is>
          <t>Input</t>
        </is>
      </c>
      <c r="B4" s="6" t="inlineStr">
        <is>
          <t>Value</t>
        </is>
      </c>
      <c r="C4" s="6" t="inlineStr">
        <is>
          <t>Note</t>
        </is>
      </c>
      <c r="D4" s="41" t="n"/>
      <c r="E4" s="41" t="n"/>
      <c r="F4" s="41" t="n"/>
      <c r="G4" s="41" t="n"/>
      <c r="H4" s="41" t="n"/>
      <c r="I4" s="42" t="n"/>
    </row>
    <row r="5" ht="33" customHeight="1">
      <c r="A5" s="8" t="inlineStr">
        <is>
          <t>Customer</t>
        </is>
      </c>
      <c r="B5" s="20" t="inlineStr">
        <is>
          <t>Dechatu Garment Works PLC, Dire Dawa Industrial Park</t>
        </is>
      </c>
      <c r="C5" s="21" t="inlineStr"/>
    </row>
    <row r="6">
      <c r="A6" s="8" t="inlineStr">
        <is>
          <t>Asset</t>
        </is>
      </c>
      <c r="B6" s="20" t="inlineStr">
        <is>
          <t>USD-priced garment machinery</t>
        </is>
      </c>
      <c r="C6" s="21" t="inlineStr"/>
    </row>
    <row r="7" ht="33" customHeight="1">
      <c r="A7" s="8" t="inlineStr">
        <is>
          <t>Asset cost to the bank, delivered and installed (ETB)</t>
        </is>
      </c>
      <c r="B7" s="34" t="n">
        <v>60000000</v>
      </c>
      <c r="C7" s="21" t="inlineStr"/>
    </row>
    <row r="8">
      <c r="A8" s="8" t="inlineStr">
        <is>
          <t>Lease years (up to 10)</t>
        </is>
      </c>
      <c r="B8" s="26" t="n">
        <v>5</v>
      </c>
      <c r="C8" s="21" t="inlineStr"/>
    </row>
    <row r="9">
      <c r="A9" s="8" t="inlineStr">
        <is>
          <t>Annual profit rate</t>
        </is>
      </c>
      <c r="B9" s="18">
        <f>Rate_Ijarah</f>
        <v/>
      </c>
      <c r="C9" s="21" t="inlineStr">
        <is>
          <t>From the Assumptions sheet</t>
        </is>
      </c>
    </row>
    <row r="10">
      <c r="A10" s="8" t="inlineStr">
        <is>
          <t>Delivery date (rent starts)</t>
        </is>
      </c>
      <c r="B10" s="27" t="n">
        <v>46357</v>
      </c>
      <c r="C10" s="21" t="inlineStr">
        <is>
          <t>No rent before delivery</t>
        </is>
      </c>
    </row>
    <row r="11">
      <c r="A11" s="8" t="inlineStr">
        <is>
          <t>Rent frequency</t>
        </is>
      </c>
      <c r="B11" s="20" t="inlineStr">
        <is>
          <t>Monthly</t>
        </is>
      </c>
      <c r="C11" s="21" t="inlineStr"/>
    </row>
    <row r="12">
      <c r="A12" s="8" t="inlineStr">
        <is>
          <t>Periods a year</t>
        </is>
      </c>
      <c r="B12" s="22">
        <f>VLOOKUP(B11,Freq_Table,2,FALSE)</f>
        <v/>
      </c>
      <c r="C12" s="21" t="inlineStr"/>
    </row>
    <row r="13">
      <c r="A13" s="8" t="inlineStr">
        <is>
          <t>Promised transfer price at the end (ETB)</t>
        </is>
      </c>
      <c r="B13" s="34" t="n">
        <v>1000</v>
      </c>
      <c r="C13" s="21" t="inlineStr">
        <is>
          <t>Separate promise to sell after the last rent; not part of the lease</t>
        </is>
      </c>
    </row>
    <row r="14"/>
    <row r="15">
      <c r="A15" s="5" t="inlineStr">
        <is>
          <t>Rent review (as agreed in the lease)</t>
        </is>
      </c>
    </row>
    <row r="16">
      <c r="A16" s="8" t="inlineStr">
        <is>
          <t>Review date</t>
        </is>
      </c>
      <c r="B16" s="27" t="n">
        <v>47088</v>
      </c>
      <c r="C16" s="21" t="inlineStr">
        <is>
          <t>Revised rate applies only to lease years starting after this date; rent already earned never changes</t>
        </is>
      </c>
    </row>
    <row r="17">
      <c r="A17" s="8" t="inlineStr">
        <is>
          <t>Review formula (as agreed in the lease)</t>
        </is>
      </c>
      <c r="B17" s="20" t="inlineStr">
        <is>
          <t>Board-approved Ijarah rate on the review date, within the floor and cap</t>
        </is>
      </c>
      <c r="C17" s="44" t="n"/>
      <c r="D17" s="44" t="n"/>
      <c r="E17" s="44" t="n"/>
      <c r="F17" s="44" t="n"/>
      <c r="G17" s="44" t="n"/>
      <c r="H17" s="44" t="n"/>
      <c r="I17" s="45" t="n"/>
    </row>
    <row r="18">
      <c r="A18" s="8" t="inlineStr">
        <is>
          <t>Floor rate</t>
        </is>
      </c>
      <c r="B18" s="14" t="n">
        <v>0.12</v>
      </c>
      <c r="C18" s="21" t="inlineStr"/>
    </row>
    <row r="19">
      <c r="A19" s="8" t="inlineStr">
        <is>
          <t>Cap rate</t>
        </is>
      </c>
      <c r="B19" s="14" t="n">
        <v>0.16</v>
      </c>
      <c r="C19" s="21" t="inlineStr"/>
    </row>
    <row r="20">
      <c r="A20" s="8" t="inlineStr">
        <is>
          <t>Revised rate (between floor and cap)</t>
        </is>
      </c>
      <c r="B20" s="14" t="n">
        <v>0.14</v>
      </c>
      <c r="C20" s="21" t="inlineStr">
        <is>
          <t>Sample: no change at the review</t>
        </is>
      </c>
    </row>
    <row r="21">
      <c r="A21" s="8" t="inlineStr">
        <is>
          <t>Revised rate check</t>
        </is>
      </c>
      <c r="B21" s="33">
        <f>IF(B20="","No revised rate entered",IF(AND(B20&gt;=B18,B20&lt;=B19),"Within floor and cap","Outside floor and cap"))</f>
        <v/>
      </c>
      <c r="C21" s="21" t="inlineStr"/>
    </row>
    <row r="22"/>
    <row r="23" ht="34" customHeight="1">
      <c r="A23" s="6" t="inlineStr">
        <is>
          <t>Year</t>
        </is>
      </c>
      <c r="B23" s="6" t="inlineStr">
        <is>
          <t>Lease year starts</t>
        </is>
      </c>
      <c r="C23" s="6" t="inlineStr">
        <is>
          <t>Rate applied</t>
        </is>
      </c>
      <c r="D23" s="6" t="inlineStr">
        <is>
          <t>Unrecovered cost at start</t>
        </is>
      </c>
      <c r="E23" s="6" t="inlineStr">
        <is>
          <t>Capital portion</t>
        </is>
      </c>
      <c r="F23" s="6" t="inlineStr">
        <is>
          <t>Profit</t>
        </is>
      </c>
      <c r="G23" s="6" t="inlineStr">
        <is>
          <t>Annual rent</t>
        </is>
      </c>
      <c r="H23" s="6" t="inlineStr">
        <is>
          <t>Rent per period</t>
        </is>
      </c>
      <c r="I23" s="6" t="inlineStr">
        <is>
          <t>Unrecovered cost at end</t>
        </is>
      </c>
    </row>
    <row r="24">
      <c r="A24" s="22">
        <f>IF(1&lt;=$B$8,1,"")</f>
        <v/>
      </c>
      <c r="B24" s="23">
        <f>IF(A24="","",EDATE($B$10,12*(A24-1)))</f>
        <v/>
      </c>
      <c r="C24" s="18">
        <f>IF(A24="","",IF(AND($B$16&lt;&gt;"",$B$20&lt;&gt;"",B24&gt;$B$16),$B$20,$B$9))</f>
        <v/>
      </c>
      <c r="D24" s="46">
        <f>IF(A24="","",$B$7-$B$7/$B$8*(A24-1))</f>
        <v/>
      </c>
      <c r="E24" s="46">
        <f>IF(A24="","",$B$7/$B$8)</f>
        <v/>
      </c>
      <c r="F24" s="46">
        <f>IF(A24="","",ROUND(C24*D24,2))</f>
        <v/>
      </c>
      <c r="G24" s="46">
        <f>IF(A24="","",E24+F24)</f>
        <v/>
      </c>
      <c r="H24" s="24">
        <f>IF(A24="","",ROUND(G24/$B$12,2))</f>
        <v/>
      </c>
      <c r="I24" s="46">
        <f>IF(A24="","",D24-E24)</f>
        <v/>
      </c>
    </row>
    <row r="25">
      <c r="A25" s="22">
        <f>IF(2&lt;=$B$8,2,"")</f>
        <v/>
      </c>
      <c r="B25" s="23">
        <f>IF(A25="","",EDATE($B$10,12*(A25-1)))</f>
        <v/>
      </c>
      <c r="C25" s="18">
        <f>IF(A25="","",IF(AND($B$16&lt;&gt;"",$B$20&lt;&gt;"",B25&gt;$B$16),$B$20,$B$9))</f>
        <v/>
      </c>
      <c r="D25" s="46">
        <f>IF(A25="","",$B$7-$B$7/$B$8*(A25-1))</f>
        <v/>
      </c>
      <c r="E25" s="46">
        <f>IF(A25="","",$B$7/$B$8)</f>
        <v/>
      </c>
      <c r="F25" s="46">
        <f>IF(A25="","",ROUND(C25*D25,2))</f>
        <v/>
      </c>
      <c r="G25" s="46">
        <f>IF(A25="","",E25+F25)</f>
        <v/>
      </c>
      <c r="H25" s="24">
        <f>IF(A25="","",ROUND(G25/$B$12,2))</f>
        <v/>
      </c>
      <c r="I25" s="46">
        <f>IF(A25="","",D25-E25)</f>
        <v/>
      </c>
    </row>
    <row r="26">
      <c r="A26" s="22">
        <f>IF(3&lt;=$B$8,3,"")</f>
        <v/>
      </c>
      <c r="B26" s="23">
        <f>IF(A26="","",EDATE($B$10,12*(A26-1)))</f>
        <v/>
      </c>
      <c r="C26" s="18">
        <f>IF(A26="","",IF(AND($B$16&lt;&gt;"",$B$20&lt;&gt;"",B26&gt;$B$16),$B$20,$B$9))</f>
        <v/>
      </c>
      <c r="D26" s="46">
        <f>IF(A26="","",$B$7-$B$7/$B$8*(A26-1))</f>
        <v/>
      </c>
      <c r="E26" s="46">
        <f>IF(A26="","",$B$7/$B$8)</f>
        <v/>
      </c>
      <c r="F26" s="46">
        <f>IF(A26="","",ROUND(C26*D26,2))</f>
        <v/>
      </c>
      <c r="G26" s="46">
        <f>IF(A26="","",E26+F26)</f>
        <v/>
      </c>
      <c r="H26" s="24">
        <f>IF(A26="","",ROUND(G26/$B$12,2))</f>
        <v/>
      </c>
      <c r="I26" s="46">
        <f>IF(A26="","",D26-E26)</f>
        <v/>
      </c>
    </row>
    <row r="27">
      <c r="A27" s="22">
        <f>IF(4&lt;=$B$8,4,"")</f>
        <v/>
      </c>
      <c r="B27" s="23">
        <f>IF(A27="","",EDATE($B$10,12*(A27-1)))</f>
        <v/>
      </c>
      <c r="C27" s="18">
        <f>IF(A27="","",IF(AND($B$16&lt;&gt;"",$B$20&lt;&gt;"",B27&gt;$B$16),$B$20,$B$9))</f>
        <v/>
      </c>
      <c r="D27" s="46">
        <f>IF(A27="","",$B$7-$B$7/$B$8*(A27-1))</f>
        <v/>
      </c>
      <c r="E27" s="46">
        <f>IF(A27="","",$B$7/$B$8)</f>
        <v/>
      </c>
      <c r="F27" s="46">
        <f>IF(A27="","",ROUND(C27*D27,2))</f>
        <v/>
      </c>
      <c r="G27" s="46">
        <f>IF(A27="","",E27+F27)</f>
        <v/>
      </c>
      <c r="H27" s="24">
        <f>IF(A27="","",ROUND(G27/$B$12,2))</f>
        <v/>
      </c>
      <c r="I27" s="46">
        <f>IF(A27="","",D27-E27)</f>
        <v/>
      </c>
    </row>
    <row r="28">
      <c r="A28" s="22">
        <f>IF(5&lt;=$B$8,5,"")</f>
        <v/>
      </c>
      <c r="B28" s="23">
        <f>IF(A28="","",EDATE($B$10,12*(A28-1)))</f>
        <v/>
      </c>
      <c r="C28" s="18">
        <f>IF(A28="","",IF(AND($B$16&lt;&gt;"",$B$20&lt;&gt;"",B28&gt;$B$16),$B$20,$B$9))</f>
        <v/>
      </c>
      <c r="D28" s="46">
        <f>IF(A28="","",$B$7-$B$7/$B$8*(A28-1))</f>
        <v/>
      </c>
      <c r="E28" s="46">
        <f>IF(A28="","",$B$7/$B$8)</f>
        <v/>
      </c>
      <c r="F28" s="46">
        <f>IF(A28="","",ROUND(C28*D28,2))</f>
        <v/>
      </c>
      <c r="G28" s="46">
        <f>IF(A28="","",E28+F28)</f>
        <v/>
      </c>
      <c r="H28" s="24">
        <f>IF(A28="","",ROUND(G28/$B$12,2))</f>
        <v/>
      </c>
      <c r="I28" s="46">
        <f>IF(A28="","",D28-E28)</f>
        <v/>
      </c>
    </row>
    <row r="29">
      <c r="A29" s="22">
        <f>IF(6&lt;=$B$8,6,"")</f>
        <v/>
      </c>
      <c r="B29" s="23">
        <f>IF(A29="","",EDATE($B$10,12*(A29-1)))</f>
        <v/>
      </c>
      <c r="C29" s="18">
        <f>IF(A29="","",IF(AND($B$16&lt;&gt;"",$B$20&lt;&gt;"",B29&gt;$B$16),$B$20,$B$9))</f>
        <v/>
      </c>
      <c r="D29" s="46">
        <f>IF(A29="","",$B$7-$B$7/$B$8*(A29-1))</f>
        <v/>
      </c>
      <c r="E29" s="46">
        <f>IF(A29="","",$B$7/$B$8)</f>
        <v/>
      </c>
      <c r="F29" s="46">
        <f>IF(A29="","",ROUND(C29*D29,2))</f>
        <v/>
      </c>
      <c r="G29" s="46">
        <f>IF(A29="","",E29+F29)</f>
        <v/>
      </c>
      <c r="H29" s="24">
        <f>IF(A29="","",ROUND(G29/$B$12,2))</f>
        <v/>
      </c>
      <c r="I29" s="46">
        <f>IF(A29="","",D29-E29)</f>
        <v/>
      </c>
    </row>
    <row r="30">
      <c r="A30" s="22">
        <f>IF(7&lt;=$B$8,7,"")</f>
        <v/>
      </c>
      <c r="B30" s="23">
        <f>IF(A30="","",EDATE($B$10,12*(A30-1)))</f>
        <v/>
      </c>
      <c r="C30" s="18">
        <f>IF(A30="","",IF(AND($B$16&lt;&gt;"",$B$20&lt;&gt;"",B30&gt;$B$16),$B$20,$B$9))</f>
        <v/>
      </c>
      <c r="D30" s="46">
        <f>IF(A30="","",$B$7-$B$7/$B$8*(A30-1))</f>
        <v/>
      </c>
      <c r="E30" s="46">
        <f>IF(A30="","",$B$7/$B$8)</f>
        <v/>
      </c>
      <c r="F30" s="46">
        <f>IF(A30="","",ROUND(C30*D30,2))</f>
        <v/>
      </c>
      <c r="G30" s="46">
        <f>IF(A30="","",E30+F30)</f>
        <v/>
      </c>
      <c r="H30" s="24">
        <f>IF(A30="","",ROUND(G30/$B$12,2))</f>
        <v/>
      </c>
      <c r="I30" s="46">
        <f>IF(A30="","",D30-E30)</f>
        <v/>
      </c>
    </row>
    <row r="31">
      <c r="A31" s="22">
        <f>IF(8&lt;=$B$8,8,"")</f>
        <v/>
      </c>
      <c r="B31" s="23">
        <f>IF(A31="","",EDATE($B$10,12*(A31-1)))</f>
        <v/>
      </c>
      <c r="C31" s="18">
        <f>IF(A31="","",IF(AND($B$16&lt;&gt;"",$B$20&lt;&gt;"",B31&gt;$B$16),$B$20,$B$9))</f>
        <v/>
      </c>
      <c r="D31" s="46">
        <f>IF(A31="","",$B$7-$B$7/$B$8*(A31-1))</f>
        <v/>
      </c>
      <c r="E31" s="46">
        <f>IF(A31="","",$B$7/$B$8)</f>
        <v/>
      </c>
      <c r="F31" s="46">
        <f>IF(A31="","",ROUND(C31*D31,2))</f>
        <v/>
      </c>
      <c r="G31" s="46">
        <f>IF(A31="","",E31+F31)</f>
        <v/>
      </c>
      <c r="H31" s="24">
        <f>IF(A31="","",ROUND(G31/$B$12,2))</f>
        <v/>
      </c>
      <c r="I31" s="46">
        <f>IF(A31="","",D31-E31)</f>
        <v/>
      </c>
    </row>
    <row r="32">
      <c r="A32" s="22">
        <f>IF(9&lt;=$B$8,9,"")</f>
        <v/>
      </c>
      <c r="B32" s="23">
        <f>IF(A32="","",EDATE($B$10,12*(A32-1)))</f>
        <v/>
      </c>
      <c r="C32" s="18">
        <f>IF(A32="","",IF(AND($B$16&lt;&gt;"",$B$20&lt;&gt;"",B32&gt;$B$16),$B$20,$B$9))</f>
        <v/>
      </c>
      <c r="D32" s="46">
        <f>IF(A32="","",$B$7-$B$7/$B$8*(A32-1))</f>
        <v/>
      </c>
      <c r="E32" s="46">
        <f>IF(A32="","",$B$7/$B$8)</f>
        <v/>
      </c>
      <c r="F32" s="46">
        <f>IF(A32="","",ROUND(C32*D32,2))</f>
        <v/>
      </c>
      <c r="G32" s="46">
        <f>IF(A32="","",E32+F32)</f>
        <v/>
      </c>
      <c r="H32" s="24">
        <f>IF(A32="","",ROUND(G32/$B$12,2))</f>
        <v/>
      </c>
      <c r="I32" s="46">
        <f>IF(A32="","",D32-E32)</f>
        <v/>
      </c>
    </row>
    <row r="33">
      <c r="A33" s="22">
        <f>IF(10&lt;=$B$8,10,"")</f>
        <v/>
      </c>
      <c r="B33" s="23">
        <f>IF(A33="","",EDATE($B$10,12*(A33-1)))</f>
        <v/>
      </c>
      <c r="C33" s="18">
        <f>IF(A33="","",IF(AND($B$16&lt;&gt;"",$B$20&lt;&gt;"",B33&gt;$B$16),$B$20,$B$9))</f>
        <v/>
      </c>
      <c r="D33" s="46">
        <f>IF(A33="","",$B$7-$B$7/$B$8*(A33-1))</f>
        <v/>
      </c>
      <c r="E33" s="46">
        <f>IF(A33="","",$B$7/$B$8)</f>
        <v/>
      </c>
      <c r="F33" s="46">
        <f>IF(A33="","",ROUND(C33*D33,2))</f>
        <v/>
      </c>
      <c r="G33" s="46">
        <f>IF(A33="","",E33+F33)</f>
        <v/>
      </c>
      <c r="H33" s="24">
        <f>IF(A33="","",ROUND(G33/$B$12,2))</f>
        <v/>
      </c>
      <c r="I33" s="46">
        <f>IF(A33="","",D33-E33)</f>
        <v/>
      </c>
    </row>
    <row r="34">
      <c r="A34" s="38" t="inlineStr">
        <is>
          <t>Total</t>
        </is>
      </c>
      <c r="B34" s="39" t="n"/>
      <c r="C34" s="39" t="n"/>
      <c r="D34" s="39" t="n"/>
      <c r="E34" s="47">
        <f>SUM(E24:E33)</f>
        <v/>
      </c>
      <c r="F34" s="47">
        <f>SUM(F24:F33)</f>
        <v/>
      </c>
      <c r="G34" s="47">
        <f>SUM(G24:G33)</f>
        <v/>
      </c>
      <c r="H34" s="39" t="n"/>
      <c r="I34" s="39" t="n"/>
    </row>
    <row r="35">
      <c r="A35" s="8" t="inlineStr">
        <is>
          <t>Check: capital portions recover the cost</t>
        </is>
      </c>
      <c r="B35" s="33">
        <f>IF(ROUND(E34-B7,0)=0,"OK","Check")</f>
        <v/>
      </c>
    </row>
    <row r="36">
      <c r="A36" s="30" t="inlineStr">
        <is>
          <t>No rent before delivery. Major maintenance and takaful are the bank's as owner and are built into the rental rate.</t>
        </is>
      </c>
    </row>
    <row r="37"/>
    <row r="38">
      <c r="A38" s="5" t="inlineStr">
        <is>
          <t>Comparison: Murabaha alternative for the same machinery</t>
        </is>
      </c>
    </row>
    <row r="39">
      <c r="A39" s="8" t="inlineStr">
        <is>
          <t>Cost (ETB)</t>
        </is>
      </c>
      <c r="B39" s="46">
        <f>B7</f>
        <v/>
      </c>
    </row>
    <row r="40">
      <c r="A40" s="8" t="inlineStr">
        <is>
          <t>Months</t>
        </is>
      </c>
      <c r="B40" s="22">
        <f>B8*12</f>
        <v/>
      </c>
    </row>
    <row r="41">
      <c r="A41" s="8" t="inlineStr">
        <is>
          <t>Profit rate (same rate, for comparison)</t>
        </is>
      </c>
      <c r="B41" s="18">
        <f>B9</f>
        <v/>
      </c>
    </row>
    <row r="42">
      <c r="A42" s="8" t="inlineStr">
        <is>
          <t>Profit = cost x rate x months / 12</t>
        </is>
      </c>
      <c r="B42" s="46">
        <f>ROUND(B39*B41*B40/12,2)</f>
        <v/>
      </c>
    </row>
    <row r="43">
      <c r="A43" s="8" t="inlineStr">
        <is>
          <t>Sale price</t>
        </is>
      </c>
      <c r="B43" s="46">
        <f>B39+B42</f>
        <v/>
      </c>
    </row>
    <row r="44">
      <c r="A44" s="8" t="inlineStr">
        <is>
          <t>Equal monthly installments</t>
        </is>
      </c>
      <c r="B44" s="24">
        <f>ROUND(B43/B40,2)</f>
        <v/>
      </c>
    </row>
    <row r="45">
      <c r="A45" s="8" t="inlineStr">
        <is>
          <t>Ijarah total rent, for comparison</t>
        </is>
      </c>
      <c r="B45" s="46">
        <f>G34</f>
        <v/>
      </c>
    </row>
    <row r="46">
      <c r="A46" s="8" t="inlineStr">
        <is>
          <t>Ijarah keeps title with Bank A and allows agreed reviews; Murabaha passes title at once at a fixed price.</t>
        </is>
      </c>
    </row>
    <row r="47"/>
    <row r="48">
      <c r="A48" s="10" t="inlineStr">
        <is>
          <t>Illustrative rates only. Use your bank's board-approved pricing; the host bank's Sharia'h Advisory Committee rulings and IFB policy take precedence.</t>
        </is>
      </c>
      <c r="B48" s="11" t="n"/>
      <c r="C48" s="11" t="n"/>
      <c r="D48" s="11" t="n"/>
      <c r="E48" s="11" t="n"/>
      <c r="F48" s="11" t="n"/>
      <c r="G48" s="11" t="n"/>
      <c r="H48" s="11" t="n"/>
      <c r="I48" s="11" t="n"/>
    </row>
  </sheetData>
  <mergeCells count="20">
    <mergeCell ref="A46:I46"/>
    <mergeCell ref="C8:I8"/>
    <mergeCell ref="C7:I7"/>
    <mergeCell ref="C19:I19"/>
    <mergeCell ref="C13:I13"/>
    <mergeCell ref="A2:I2"/>
    <mergeCell ref="C18:I18"/>
    <mergeCell ref="C6:I6"/>
    <mergeCell ref="C5:I5"/>
    <mergeCell ref="B17:I17"/>
    <mergeCell ref="C4:I4"/>
    <mergeCell ref="C20:I20"/>
    <mergeCell ref="C10:I10"/>
    <mergeCell ref="C16:I16"/>
    <mergeCell ref="A48:I48"/>
    <mergeCell ref="C9:I9"/>
    <mergeCell ref="A36:I36"/>
    <mergeCell ref="C21:I21"/>
    <mergeCell ref="C12:I12"/>
    <mergeCell ref="C11:I11"/>
  </mergeCells>
  <dataValidations count="3">
    <dataValidation sqref="B11" showDropDown="0" showInputMessage="0" showErrorMessage="0" allowBlank="1" errorTitle="Invalid entry" error="Choose a value from the list." type="list">
      <formula1>=Freq_Names</formula1>
    </dataValidation>
    <dataValidation sqref="B8" showDropDown="0" showInputMessage="0" showErrorMessage="1" allowBlank="1" errorTitle="Invalid entry" error="Enter 1 to 10 years." type="whole" operator="between">
      <formula1>1</formula1>
      <formula2>10</formula2>
    </dataValidation>
    <dataValidation sqref="B20" showDropDown="0" showInputMessage="0" showErrorMessage="1" allowBlank="1" errorTitle="Outside floor and cap" error="The revised rate must be between the floor and the cap." type="decimal" operator="between">
      <formula1>$B$18</formula1>
      <formula2>$B$19</formula2>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5.xml><?xml version="1.0" encoding="utf-8"?>
<worksheet xmlns="http://schemas.openxmlformats.org/spreadsheetml/2006/main">
  <sheetPr>
    <tabColor rgb="000F4C3A"/>
    <outlinePr summaryBelow="1" summaryRight="1"/>
    <pageSetUpPr fitToPage="1"/>
  </sheetPr>
  <dimension ref="A1:I42"/>
  <sheetViews>
    <sheetView showGridLines="0" workbookViewId="0">
      <pane ySplit="4" topLeftCell="A5" activePane="bottomLeft" state="frozen"/>
      <selection pane="bottomLeft" activeCell="A1" sqref="A1"/>
    </sheetView>
  </sheetViews>
  <sheetFormatPr baseColWidth="8" defaultRowHeight="15"/>
  <cols>
    <col width="38" customWidth="1" min="1" max="1"/>
    <col width="30" customWidth="1" min="2" max="2"/>
    <col width="16" customWidth="1" min="3" max="3"/>
    <col width="17" customWidth="1" min="4" max="4"/>
    <col width="14" customWidth="1" min="5" max="5"/>
    <col width="16" customWidth="1" min="6" max="6"/>
    <col width="15" customWidth="1" min="7" max="7"/>
    <col width="13" customWidth="1" min="8" max="8"/>
    <col width="26" customWidth="1" min="9" max="9"/>
  </cols>
  <sheetData>
    <row r="1" ht="26" customHeight="1">
      <c r="A1" s="1" t="inlineStr">
        <is>
          <t>Diminishing Musharakah: unit buy-out and rent schedule</t>
        </is>
      </c>
      <c r="B1" s="2" t="n"/>
      <c r="C1" s="2" t="n"/>
      <c r="D1" s="2" t="n"/>
      <c r="E1" s="2" t="n"/>
      <c r="F1" s="2" t="n"/>
      <c r="G1" s="2" t="n"/>
      <c r="H1" s="2" t="n"/>
      <c r="I1" s="2" t="n"/>
    </row>
    <row r="2">
      <c r="A2" s="13" t="inlineStr">
        <is>
          <t>Rent is charged only on Bank A's share, which falls by one unit a year as the customer buys it.</t>
        </is>
      </c>
    </row>
    <row r="3"/>
    <row r="4" ht="20" customHeight="1">
      <c r="A4" s="6" t="inlineStr">
        <is>
          <t>Input</t>
        </is>
      </c>
      <c r="B4" s="6" t="inlineStr">
        <is>
          <t>Value</t>
        </is>
      </c>
      <c r="C4" s="6" t="inlineStr">
        <is>
          <t>Note</t>
        </is>
      </c>
      <c r="D4" s="41" t="n"/>
      <c r="E4" s="41" t="n"/>
      <c r="F4" s="41" t="n"/>
      <c r="G4" s="41" t="n"/>
      <c r="H4" s="41" t="n"/>
      <c r="I4" s="42" t="n"/>
    </row>
    <row r="5">
      <c r="A5" s="8" t="inlineStr">
        <is>
          <t>Customer</t>
        </is>
      </c>
      <c r="B5" s="20" t="inlineStr">
        <is>
          <t>Harar Highland Coffee Export PLC</t>
        </is>
      </c>
      <c r="C5" s="21" t="inlineStr"/>
    </row>
    <row r="6" ht="33" customHeight="1">
      <c r="A6" s="8" t="inlineStr">
        <is>
          <t>Asset</t>
        </is>
      </c>
      <c r="B6" s="20" t="inlineStr">
        <is>
          <t>Office and warehouse building, Dire Dawa</t>
        </is>
      </c>
      <c r="C6" s="21" t="inlineStr"/>
    </row>
    <row r="7">
      <c r="A7" s="8" t="inlineStr">
        <is>
          <t>Asset value (ETB)</t>
        </is>
      </c>
      <c r="B7" s="34" t="n">
        <v>10000000</v>
      </c>
      <c r="C7" s="21" t="inlineStr"/>
    </row>
    <row r="8">
      <c r="A8" s="8" t="inlineStr">
        <is>
          <t>Bank share at start</t>
        </is>
      </c>
      <c r="B8" s="14" t="n">
        <v>0.7</v>
      </c>
      <c r="C8" s="21" t="inlineStr"/>
    </row>
    <row r="9">
      <c r="A9" s="8" t="inlineStr">
        <is>
          <t>Customer share at start</t>
        </is>
      </c>
      <c r="B9" s="18">
        <f>1-B8</f>
        <v/>
      </c>
      <c r="C9" s="21" t="inlineStr"/>
    </row>
    <row r="10">
      <c r="A10" s="8" t="inlineStr">
        <is>
          <t>Unit size (share bought each year)</t>
        </is>
      </c>
      <c r="B10" s="14" t="n">
        <v>0.07000000000000001</v>
      </c>
      <c r="C10" s="21" t="inlineStr"/>
    </row>
    <row r="11">
      <c r="A11" s="8" t="inlineStr">
        <is>
          <t>Number of units (up to 20)</t>
        </is>
      </c>
      <c r="B11" s="22">
        <f>ROUND(B8/B10,0)</f>
        <v/>
      </c>
      <c r="C11" s="21" t="inlineStr"/>
    </row>
    <row r="12">
      <c r="A12" s="8" t="inlineStr">
        <is>
          <t>Unit price method</t>
        </is>
      </c>
      <c r="B12" s="20" t="inlineStr">
        <is>
          <t>Agreed value</t>
        </is>
      </c>
      <c r="C12" s="21" t="inlineStr">
        <is>
          <t>Method approved by the SAC</t>
        </is>
      </c>
    </row>
    <row r="13">
      <c r="A13" s="8" t="inlineStr">
        <is>
          <t>Agreed unit price (ETB)</t>
        </is>
      </c>
      <c r="B13" s="34" t="n">
        <v>700000</v>
      </c>
      <c r="C13" s="21" t="inlineStr">
        <is>
          <t>Used when the method is Agreed value</t>
        </is>
      </c>
    </row>
    <row r="14">
      <c r="A14" s="8" t="inlineStr">
        <is>
          <t>Annual rent rate on the bank's share</t>
        </is>
      </c>
      <c r="B14" s="18">
        <f>Rate_DM_Rent</f>
        <v/>
      </c>
      <c r="C14" s="21" t="inlineStr">
        <is>
          <t>From the Assumptions sheet</t>
        </is>
      </c>
    </row>
    <row r="15"/>
    <row r="16" ht="48" customHeight="1">
      <c r="A16" s="6" t="inlineStr">
        <is>
          <t>Year</t>
        </is>
      </c>
      <c r="B16" s="6" t="inlineStr">
        <is>
          <t>Bank share at start</t>
        </is>
      </c>
      <c r="C16" s="6" t="inlineStr">
        <is>
          <t>Market value of asset (market method only)</t>
        </is>
      </c>
      <c r="D16" s="6" t="inlineStr">
        <is>
          <t>Value of bank share at start</t>
        </is>
      </c>
      <c r="E16" s="6" t="inlineStr">
        <is>
          <t>Rent</t>
        </is>
      </c>
      <c r="F16" s="6" t="inlineStr">
        <is>
          <t>Unit bought at year end (price)</t>
        </is>
      </c>
      <c r="G16" s="6" t="inlineStr">
        <is>
          <t>Total paid</t>
        </is>
      </c>
      <c r="H16" s="6" t="inlineStr">
        <is>
          <t>Bank share at end</t>
        </is>
      </c>
      <c r="I16" s="6" t="inlineStr">
        <is>
          <t>Rent check</t>
        </is>
      </c>
    </row>
    <row r="17">
      <c r="A17" s="22">
        <f>IF(1&lt;=$B$11,1,"")</f>
        <v/>
      </c>
      <c r="B17" s="18">
        <f>IF(A17="","",$B$8)</f>
        <v/>
      </c>
      <c r="C17" s="34" t="n"/>
      <c r="D17" s="46">
        <f>IF(A17="","",ROUND(IF($B$12="Market value on buy-out date",C17,$B$7)*B17,2))</f>
        <v/>
      </c>
      <c r="E17" s="46">
        <f>IF(A17="","",ROUND($B$14*D17,2))</f>
        <v/>
      </c>
      <c r="F17" s="46">
        <f>IF(A17="","",IF($B$12="Market value on buy-out date",ROUND(C17*$B$10,2),$B$13))</f>
        <v/>
      </c>
      <c r="G17" s="46">
        <f>IF(A17="","",E17+F17)</f>
        <v/>
      </c>
      <c r="H17" s="18">
        <f>IF(A17="","",ROUND(MAX(0,B17-$B$10),6))</f>
        <v/>
      </c>
      <c r="I17" s="48">
        <f>IF(A17="","",IF(E17&gt;ROUND($B$14*IF($B$12="Market value on buy-out date",C17,$B$7)*B17,2)+0.005,"Error: rent on more than the bank's share","OK"))</f>
        <v/>
      </c>
    </row>
    <row r="18">
      <c r="A18" s="22">
        <f>IF(2&lt;=$B$11,2,"")</f>
        <v/>
      </c>
      <c r="B18" s="18">
        <f>IF(A18="","",H17)</f>
        <v/>
      </c>
      <c r="C18" s="34" t="n"/>
      <c r="D18" s="46">
        <f>IF(A18="","",ROUND(IF($B$12="Market value on buy-out date",C18,$B$7)*B18,2))</f>
        <v/>
      </c>
      <c r="E18" s="46">
        <f>IF(A18="","",ROUND($B$14*D18,2))</f>
        <v/>
      </c>
      <c r="F18" s="46">
        <f>IF(A18="","",IF($B$12="Market value on buy-out date",ROUND(C18*$B$10,2),$B$13))</f>
        <v/>
      </c>
      <c r="G18" s="46">
        <f>IF(A18="","",E18+F18)</f>
        <v/>
      </c>
      <c r="H18" s="18">
        <f>IF(A18="","",ROUND(MAX(0,B18-$B$10),6))</f>
        <v/>
      </c>
      <c r="I18" s="48">
        <f>IF(A18="","",IF(E18&gt;ROUND($B$14*IF($B$12="Market value on buy-out date",C18,$B$7)*B18,2)+0.005,"Error: rent on more than the bank's share","OK"))</f>
        <v/>
      </c>
    </row>
    <row r="19">
      <c r="A19" s="22">
        <f>IF(3&lt;=$B$11,3,"")</f>
        <v/>
      </c>
      <c r="B19" s="18">
        <f>IF(A19="","",H18)</f>
        <v/>
      </c>
      <c r="C19" s="34" t="n"/>
      <c r="D19" s="46">
        <f>IF(A19="","",ROUND(IF($B$12="Market value on buy-out date",C19,$B$7)*B19,2))</f>
        <v/>
      </c>
      <c r="E19" s="46">
        <f>IF(A19="","",ROUND($B$14*D19,2))</f>
        <v/>
      </c>
      <c r="F19" s="46">
        <f>IF(A19="","",IF($B$12="Market value on buy-out date",ROUND(C19*$B$10,2),$B$13))</f>
        <v/>
      </c>
      <c r="G19" s="46">
        <f>IF(A19="","",E19+F19)</f>
        <v/>
      </c>
      <c r="H19" s="18">
        <f>IF(A19="","",ROUND(MAX(0,B19-$B$10),6))</f>
        <v/>
      </c>
      <c r="I19" s="48">
        <f>IF(A19="","",IF(E19&gt;ROUND($B$14*IF($B$12="Market value on buy-out date",C19,$B$7)*B19,2)+0.005,"Error: rent on more than the bank's share","OK"))</f>
        <v/>
      </c>
    </row>
    <row r="20">
      <c r="A20" s="22">
        <f>IF(4&lt;=$B$11,4,"")</f>
        <v/>
      </c>
      <c r="B20" s="18">
        <f>IF(A20="","",H19)</f>
        <v/>
      </c>
      <c r="C20" s="34" t="n"/>
      <c r="D20" s="46">
        <f>IF(A20="","",ROUND(IF($B$12="Market value on buy-out date",C20,$B$7)*B20,2))</f>
        <v/>
      </c>
      <c r="E20" s="46">
        <f>IF(A20="","",ROUND($B$14*D20,2))</f>
        <v/>
      </c>
      <c r="F20" s="46">
        <f>IF(A20="","",IF($B$12="Market value on buy-out date",ROUND(C20*$B$10,2),$B$13))</f>
        <v/>
      </c>
      <c r="G20" s="46">
        <f>IF(A20="","",E20+F20)</f>
        <v/>
      </c>
      <c r="H20" s="18">
        <f>IF(A20="","",ROUND(MAX(0,B20-$B$10),6))</f>
        <v/>
      </c>
      <c r="I20" s="48">
        <f>IF(A20="","",IF(E20&gt;ROUND($B$14*IF($B$12="Market value on buy-out date",C20,$B$7)*B20,2)+0.005,"Error: rent on more than the bank's share","OK"))</f>
        <v/>
      </c>
    </row>
    <row r="21">
      <c r="A21" s="22">
        <f>IF(5&lt;=$B$11,5,"")</f>
        <v/>
      </c>
      <c r="B21" s="18">
        <f>IF(A21="","",H20)</f>
        <v/>
      </c>
      <c r="C21" s="34" t="n"/>
      <c r="D21" s="46">
        <f>IF(A21="","",ROUND(IF($B$12="Market value on buy-out date",C21,$B$7)*B21,2))</f>
        <v/>
      </c>
      <c r="E21" s="46">
        <f>IF(A21="","",ROUND($B$14*D21,2))</f>
        <v/>
      </c>
      <c r="F21" s="46">
        <f>IF(A21="","",IF($B$12="Market value on buy-out date",ROUND(C21*$B$10,2),$B$13))</f>
        <v/>
      </c>
      <c r="G21" s="46">
        <f>IF(A21="","",E21+F21)</f>
        <v/>
      </c>
      <c r="H21" s="18">
        <f>IF(A21="","",ROUND(MAX(0,B21-$B$10),6))</f>
        <v/>
      </c>
      <c r="I21" s="48">
        <f>IF(A21="","",IF(E21&gt;ROUND($B$14*IF($B$12="Market value on buy-out date",C21,$B$7)*B21,2)+0.005,"Error: rent on more than the bank's share","OK"))</f>
        <v/>
      </c>
    </row>
    <row r="22">
      <c r="A22" s="22">
        <f>IF(6&lt;=$B$11,6,"")</f>
        <v/>
      </c>
      <c r="B22" s="18">
        <f>IF(A22="","",H21)</f>
        <v/>
      </c>
      <c r="C22" s="34" t="n"/>
      <c r="D22" s="46">
        <f>IF(A22="","",ROUND(IF($B$12="Market value on buy-out date",C22,$B$7)*B22,2))</f>
        <v/>
      </c>
      <c r="E22" s="46">
        <f>IF(A22="","",ROUND($B$14*D22,2))</f>
        <v/>
      </c>
      <c r="F22" s="46">
        <f>IF(A22="","",IF($B$12="Market value on buy-out date",ROUND(C22*$B$10,2),$B$13))</f>
        <v/>
      </c>
      <c r="G22" s="46">
        <f>IF(A22="","",E22+F22)</f>
        <v/>
      </c>
      <c r="H22" s="18">
        <f>IF(A22="","",ROUND(MAX(0,B22-$B$10),6))</f>
        <v/>
      </c>
      <c r="I22" s="48">
        <f>IF(A22="","",IF(E22&gt;ROUND($B$14*IF($B$12="Market value on buy-out date",C22,$B$7)*B22,2)+0.005,"Error: rent on more than the bank's share","OK"))</f>
        <v/>
      </c>
    </row>
    <row r="23">
      <c r="A23" s="22">
        <f>IF(7&lt;=$B$11,7,"")</f>
        <v/>
      </c>
      <c r="B23" s="18">
        <f>IF(A23="","",H22)</f>
        <v/>
      </c>
      <c r="C23" s="34" t="n"/>
      <c r="D23" s="46">
        <f>IF(A23="","",ROUND(IF($B$12="Market value on buy-out date",C23,$B$7)*B23,2))</f>
        <v/>
      </c>
      <c r="E23" s="46">
        <f>IF(A23="","",ROUND($B$14*D23,2))</f>
        <v/>
      </c>
      <c r="F23" s="46">
        <f>IF(A23="","",IF($B$12="Market value on buy-out date",ROUND(C23*$B$10,2),$B$13))</f>
        <v/>
      </c>
      <c r="G23" s="46">
        <f>IF(A23="","",E23+F23)</f>
        <v/>
      </c>
      <c r="H23" s="18">
        <f>IF(A23="","",ROUND(MAX(0,B23-$B$10),6))</f>
        <v/>
      </c>
      <c r="I23" s="48">
        <f>IF(A23="","",IF(E23&gt;ROUND($B$14*IF($B$12="Market value on buy-out date",C23,$B$7)*B23,2)+0.005,"Error: rent on more than the bank's share","OK"))</f>
        <v/>
      </c>
    </row>
    <row r="24">
      <c r="A24" s="22">
        <f>IF(8&lt;=$B$11,8,"")</f>
        <v/>
      </c>
      <c r="B24" s="18">
        <f>IF(A24="","",H23)</f>
        <v/>
      </c>
      <c r="C24" s="34" t="n"/>
      <c r="D24" s="46">
        <f>IF(A24="","",ROUND(IF($B$12="Market value on buy-out date",C24,$B$7)*B24,2))</f>
        <v/>
      </c>
      <c r="E24" s="46">
        <f>IF(A24="","",ROUND($B$14*D24,2))</f>
        <v/>
      </c>
      <c r="F24" s="46">
        <f>IF(A24="","",IF($B$12="Market value on buy-out date",ROUND(C24*$B$10,2),$B$13))</f>
        <v/>
      </c>
      <c r="G24" s="46">
        <f>IF(A24="","",E24+F24)</f>
        <v/>
      </c>
      <c r="H24" s="18">
        <f>IF(A24="","",ROUND(MAX(0,B24-$B$10),6))</f>
        <v/>
      </c>
      <c r="I24" s="48">
        <f>IF(A24="","",IF(E24&gt;ROUND($B$14*IF($B$12="Market value on buy-out date",C24,$B$7)*B24,2)+0.005,"Error: rent on more than the bank's share","OK"))</f>
        <v/>
      </c>
    </row>
    <row r="25">
      <c r="A25" s="22">
        <f>IF(9&lt;=$B$11,9,"")</f>
        <v/>
      </c>
      <c r="B25" s="18">
        <f>IF(A25="","",H24)</f>
        <v/>
      </c>
      <c r="C25" s="34" t="n"/>
      <c r="D25" s="46">
        <f>IF(A25="","",ROUND(IF($B$12="Market value on buy-out date",C25,$B$7)*B25,2))</f>
        <v/>
      </c>
      <c r="E25" s="46">
        <f>IF(A25="","",ROUND($B$14*D25,2))</f>
        <v/>
      </c>
      <c r="F25" s="46">
        <f>IF(A25="","",IF($B$12="Market value on buy-out date",ROUND(C25*$B$10,2),$B$13))</f>
        <v/>
      </c>
      <c r="G25" s="46">
        <f>IF(A25="","",E25+F25)</f>
        <v/>
      </c>
      <c r="H25" s="18">
        <f>IF(A25="","",ROUND(MAX(0,B25-$B$10),6))</f>
        <v/>
      </c>
      <c r="I25" s="48">
        <f>IF(A25="","",IF(E25&gt;ROUND($B$14*IF($B$12="Market value on buy-out date",C25,$B$7)*B25,2)+0.005,"Error: rent on more than the bank's share","OK"))</f>
        <v/>
      </c>
    </row>
    <row r="26">
      <c r="A26" s="22">
        <f>IF(10&lt;=$B$11,10,"")</f>
        <v/>
      </c>
      <c r="B26" s="18">
        <f>IF(A26="","",H25)</f>
        <v/>
      </c>
      <c r="C26" s="34" t="n"/>
      <c r="D26" s="46">
        <f>IF(A26="","",ROUND(IF($B$12="Market value on buy-out date",C26,$B$7)*B26,2))</f>
        <v/>
      </c>
      <c r="E26" s="46">
        <f>IF(A26="","",ROUND($B$14*D26,2))</f>
        <v/>
      </c>
      <c r="F26" s="46">
        <f>IF(A26="","",IF($B$12="Market value on buy-out date",ROUND(C26*$B$10,2),$B$13))</f>
        <v/>
      </c>
      <c r="G26" s="46">
        <f>IF(A26="","",E26+F26)</f>
        <v/>
      </c>
      <c r="H26" s="18">
        <f>IF(A26="","",ROUND(MAX(0,B26-$B$10),6))</f>
        <v/>
      </c>
      <c r="I26" s="48">
        <f>IF(A26="","",IF(E26&gt;ROUND($B$14*IF($B$12="Market value on buy-out date",C26,$B$7)*B26,2)+0.005,"Error: rent on more than the bank's share","OK"))</f>
        <v/>
      </c>
    </row>
    <row r="27">
      <c r="A27" s="22">
        <f>IF(11&lt;=$B$11,11,"")</f>
        <v/>
      </c>
      <c r="B27" s="18">
        <f>IF(A27="","",H26)</f>
        <v/>
      </c>
      <c r="C27" s="34" t="n"/>
      <c r="D27" s="46">
        <f>IF(A27="","",ROUND(IF($B$12="Market value on buy-out date",C27,$B$7)*B27,2))</f>
        <v/>
      </c>
      <c r="E27" s="46">
        <f>IF(A27="","",ROUND($B$14*D27,2))</f>
        <v/>
      </c>
      <c r="F27" s="46">
        <f>IF(A27="","",IF($B$12="Market value on buy-out date",ROUND(C27*$B$10,2),$B$13))</f>
        <v/>
      </c>
      <c r="G27" s="46">
        <f>IF(A27="","",E27+F27)</f>
        <v/>
      </c>
      <c r="H27" s="18">
        <f>IF(A27="","",ROUND(MAX(0,B27-$B$10),6))</f>
        <v/>
      </c>
      <c r="I27" s="48">
        <f>IF(A27="","",IF(E27&gt;ROUND($B$14*IF($B$12="Market value on buy-out date",C27,$B$7)*B27,2)+0.005,"Error: rent on more than the bank's share","OK"))</f>
        <v/>
      </c>
    </row>
    <row r="28">
      <c r="A28" s="22">
        <f>IF(12&lt;=$B$11,12,"")</f>
        <v/>
      </c>
      <c r="B28" s="18">
        <f>IF(A28="","",H27)</f>
        <v/>
      </c>
      <c r="C28" s="34" t="n"/>
      <c r="D28" s="46">
        <f>IF(A28="","",ROUND(IF($B$12="Market value on buy-out date",C28,$B$7)*B28,2))</f>
        <v/>
      </c>
      <c r="E28" s="46">
        <f>IF(A28="","",ROUND($B$14*D28,2))</f>
        <v/>
      </c>
      <c r="F28" s="46">
        <f>IF(A28="","",IF($B$12="Market value on buy-out date",ROUND(C28*$B$10,2),$B$13))</f>
        <v/>
      </c>
      <c r="G28" s="46">
        <f>IF(A28="","",E28+F28)</f>
        <v/>
      </c>
      <c r="H28" s="18">
        <f>IF(A28="","",ROUND(MAX(0,B28-$B$10),6))</f>
        <v/>
      </c>
      <c r="I28" s="48">
        <f>IF(A28="","",IF(E28&gt;ROUND($B$14*IF($B$12="Market value on buy-out date",C28,$B$7)*B28,2)+0.005,"Error: rent on more than the bank's share","OK"))</f>
        <v/>
      </c>
    </row>
    <row r="29">
      <c r="A29" s="22">
        <f>IF(13&lt;=$B$11,13,"")</f>
        <v/>
      </c>
      <c r="B29" s="18">
        <f>IF(A29="","",H28)</f>
        <v/>
      </c>
      <c r="C29" s="34" t="n"/>
      <c r="D29" s="46">
        <f>IF(A29="","",ROUND(IF($B$12="Market value on buy-out date",C29,$B$7)*B29,2))</f>
        <v/>
      </c>
      <c r="E29" s="46">
        <f>IF(A29="","",ROUND($B$14*D29,2))</f>
        <v/>
      </c>
      <c r="F29" s="46">
        <f>IF(A29="","",IF($B$12="Market value on buy-out date",ROUND(C29*$B$10,2),$B$13))</f>
        <v/>
      </c>
      <c r="G29" s="46">
        <f>IF(A29="","",E29+F29)</f>
        <v/>
      </c>
      <c r="H29" s="18">
        <f>IF(A29="","",ROUND(MAX(0,B29-$B$10),6))</f>
        <v/>
      </c>
      <c r="I29" s="48">
        <f>IF(A29="","",IF(E29&gt;ROUND($B$14*IF($B$12="Market value on buy-out date",C29,$B$7)*B29,2)+0.005,"Error: rent on more than the bank's share","OK"))</f>
        <v/>
      </c>
    </row>
    <row r="30">
      <c r="A30" s="22">
        <f>IF(14&lt;=$B$11,14,"")</f>
        <v/>
      </c>
      <c r="B30" s="18">
        <f>IF(A30="","",H29)</f>
        <v/>
      </c>
      <c r="C30" s="34" t="n"/>
      <c r="D30" s="46">
        <f>IF(A30="","",ROUND(IF($B$12="Market value on buy-out date",C30,$B$7)*B30,2))</f>
        <v/>
      </c>
      <c r="E30" s="46">
        <f>IF(A30="","",ROUND($B$14*D30,2))</f>
        <v/>
      </c>
      <c r="F30" s="46">
        <f>IF(A30="","",IF($B$12="Market value on buy-out date",ROUND(C30*$B$10,2),$B$13))</f>
        <v/>
      </c>
      <c r="G30" s="46">
        <f>IF(A30="","",E30+F30)</f>
        <v/>
      </c>
      <c r="H30" s="18">
        <f>IF(A30="","",ROUND(MAX(0,B30-$B$10),6))</f>
        <v/>
      </c>
      <c r="I30" s="48">
        <f>IF(A30="","",IF(E30&gt;ROUND($B$14*IF($B$12="Market value on buy-out date",C30,$B$7)*B30,2)+0.005,"Error: rent on more than the bank's share","OK"))</f>
        <v/>
      </c>
    </row>
    <row r="31">
      <c r="A31" s="22">
        <f>IF(15&lt;=$B$11,15,"")</f>
        <v/>
      </c>
      <c r="B31" s="18">
        <f>IF(A31="","",H30)</f>
        <v/>
      </c>
      <c r="C31" s="34" t="n"/>
      <c r="D31" s="46">
        <f>IF(A31="","",ROUND(IF($B$12="Market value on buy-out date",C31,$B$7)*B31,2))</f>
        <v/>
      </c>
      <c r="E31" s="46">
        <f>IF(A31="","",ROUND($B$14*D31,2))</f>
        <v/>
      </c>
      <c r="F31" s="46">
        <f>IF(A31="","",IF($B$12="Market value on buy-out date",ROUND(C31*$B$10,2),$B$13))</f>
        <v/>
      </c>
      <c r="G31" s="46">
        <f>IF(A31="","",E31+F31)</f>
        <v/>
      </c>
      <c r="H31" s="18">
        <f>IF(A31="","",ROUND(MAX(0,B31-$B$10),6))</f>
        <v/>
      </c>
      <c r="I31" s="48">
        <f>IF(A31="","",IF(E31&gt;ROUND($B$14*IF($B$12="Market value on buy-out date",C31,$B$7)*B31,2)+0.005,"Error: rent on more than the bank's share","OK"))</f>
        <v/>
      </c>
    </row>
    <row r="32">
      <c r="A32" s="22">
        <f>IF(16&lt;=$B$11,16,"")</f>
        <v/>
      </c>
      <c r="B32" s="18">
        <f>IF(A32="","",H31)</f>
        <v/>
      </c>
      <c r="C32" s="34" t="n"/>
      <c r="D32" s="46">
        <f>IF(A32="","",ROUND(IF($B$12="Market value on buy-out date",C32,$B$7)*B32,2))</f>
        <v/>
      </c>
      <c r="E32" s="46">
        <f>IF(A32="","",ROUND($B$14*D32,2))</f>
        <v/>
      </c>
      <c r="F32" s="46">
        <f>IF(A32="","",IF($B$12="Market value on buy-out date",ROUND(C32*$B$10,2),$B$13))</f>
        <v/>
      </c>
      <c r="G32" s="46">
        <f>IF(A32="","",E32+F32)</f>
        <v/>
      </c>
      <c r="H32" s="18">
        <f>IF(A32="","",ROUND(MAX(0,B32-$B$10),6))</f>
        <v/>
      </c>
      <c r="I32" s="48">
        <f>IF(A32="","",IF(E32&gt;ROUND($B$14*IF($B$12="Market value on buy-out date",C32,$B$7)*B32,2)+0.005,"Error: rent on more than the bank's share","OK"))</f>
        <v/>
      </c>
    </row>
    <row r="33">
      <c r="A33" s="22">
        <f>IF(17&lt;=$B$11,17,"")</f>
        <v/>
      </c>
      <c r="B33" s="18">
        <f>IF(A33="","",H32)</f>
        <v/>
      </c>
      <c r="C33" s="34" t="n"/>
      <c r="D33" s="46">
        <f>IF(A33="","",ROUND(IF($B$12="Market value on buy-out date",C33,$B$7)*B33,2))</f>
        <v/>
      </c>
      <c r="E33" s="46">
        <f>IF(A33="","",ROUND($B$14*D33,2))</f>
        <v/>
      </c>
      <c r="F33" s="46">
        <f>IF(A33="","",IF($B$12="Market value on buy-out date",ROUND(C33*$B$10,2),$B$13))</f>
        <v/>
      </c>
      <c r="G33" s="46">
        <f>IF(A33="","",E33+F33)</f>
        <v/>
      </c>
      <c r="H33" s="18">
        <f>IF(A33="","",ROUND(MAX(0,B33-$B$10),6))</f>
        <v/>
      </c>
      <c r="I33" s="48">
        <f>IF(A33="","",IF(E33&gt;ROUND($B$14*IF($B$12="Market value on buy-out date",C33,$B$7)*B33,2)+0.005,"Error: rent on more than the bank's share","OK"))</f>
        <v/>
      </c>
    </row>
    <row r="34">
      <c r="A34" s="22">
        <f>IF(18&lt;=$B$11,18,"")</f>
        <v/>
      </c>
      <c r="B34" s="18">
        <f>IF(A34="","",H33)</f>
        <v/>
      </c>
      <c r="C34" s="34" t="n"/>
      <c r="D34" s="46">
        <f>IF(A34="","",ROUND(IF($B$12="Market value on buy-out date",C34,$B$7)*B34,2))</f>
        <v/>
      </c>
      <c r="E34" s="46">
        <f>IF(A34="","",ROUND($B$14*D34,2))</f>
        <v/>
      </c>
      <c r="F34" s="46">
        <f>IF(A34="","",IF($B$12="Market value on buy-out date",ROUND(C34*$B$10,2),$B$13))</f>
        <v/>
      </c>
      <c r="G34" s="46">
        <f>IF(A34="","",E34+F34)</f>
        <v/>
      </c>
      <c r="H34" s="18">
        <f>IF(A34="","",ROUND(MAX(0,B34-$B$10),6))</f>
        <v/>
      </c>
      <c r="I34" s="48">
        <f>IF(A34="","",IF(E34&gt;ROUND($B$14*IF($B$12="Market value on buy-out date",C34,$B$7)*B34,2)+0.005,"Error: rent on more than the bank's share","OK"))</f>
        <v/>
      </c>
    </row>
    <row r="35">
      <c r="A35" s="22">
        <f>IF(19&lt;=$B$11,19,"")</f>
        <v/>
      </c>
      <c r="B35" s="18">
        <f>IF(A35="","",H34)</f>
        <v/>
      </c>
      <c r="C35" s="34" t="n"/>
      <c r="D35" s="46">
        <f>IF(A35="","",ROUND(IF($B$12="Market value on buy-out date",C35,$B$7)*B35,2))</f>
        <v/>
      </c>
      <c r="E35" s="46">
        <f>IF(A35="","",ROUND($B$14*D35,2))</f>
        <v/>
      </c>
      <c r="F35" s="46">
        <f>IF(A35="","",IF($B$12="Market value on buy-out date",ROUND(C35*$B$10,2),$B$13))</f>
        <v/>
      </c>
      <c r="G35" s="46">
        <f>IF(A35="","",E35+F35)</f>
        <v/>
      </c>
      <c r="H35" s="18">
        <f>IF(A35="","",ROUND(MAX(0,B35-$B$10),6))</f>
        <v/>
      </c>
      <c r="I35" s="48">
        <f>IF(A35="","",IF(E35&gt;ROUND($B$14*IF($B$12="Market value on buy-out date",C35,$B$7)*B35,2)+0.005,"Error: rent on more than the bank's share","OK"))</f>
        <v/>
      </c>
    </row>
    <row r="36">
      <c r="A36" s="22">
        <f>IF(20&lt;=$B$11,20,"")</f>
        <v/>
      </c>
      <c r="B36" s="18">
        <f>IF(A36="","",H35)</f>
        <v/>
      </c>
      <c r="C36" s="34" t="n"/>
      <c r="D36" s="46">
        <f>IF(A36="","",ROUND(IF($B$12="Market value on buy-out date",C36,$B$7)*B36,2))</f>
        <v/>
      </c>
      <c r="E36" s="46">
        <f>IF(A36="","",ROUND($B$14*D36,2))</f>
        <v/>
      </c>
      <c r="F36" s="46">
        <f>IF(A36="","",IF($B$12="Market value on buy-out date",ROUND(C36*$B$10,2),$B$13))</f>
        <v/>
      </c>
      <c r="G36" s="46">
        <f>IF(A36="","",E36+F36)</f>
        <v/>
      </c>
      <c r="H36" s="18">
        <f>IF(A36="","",ROUND(MAX(0,B36-$B$10),6))</f>
        <v/>
      </c>
      <c r="I36" s="48">
        <f>IF(A36="","",IF(E36&gt;ROUND($B$14*IF($B$12="Market value on buy-out date",C36,$B$7)*B36,2)+0.005,"Error: rent on more than the bank's share","OK"))</f>
        <v/>
      </c>
    </row>
    <row r="37">
      <c r="A37" s="38" t="inlineStr">
        <is>
          <t>Total</t>
        </is>
      </c>
      <c r="B37" s="39" t="n"/>
      <c r="C37" s="39" t="n"/>
      <c r="D37" s="39" t="n"/>
      <c r="E37" s="47">
        <f>SUM(E17:E36)</f>
        <v/>
      </c>
      <c r="F37" s="47">
        <f>SUM(F17:F36)</f>
        <v/>
      </c>
      <c r="G37" s="47">
        <f>SUM(G17:G36)</f>
        <v/>
      </c>
      <c r="H37" s="39" t="n"/>
      <c r="I37" s="39" t="n"/>
    </row>
    <row r="38">
      <c r="A38" s="8" t="inlineStr">
        <is>
          <t>Bank share at the end of the last year</t>
        </is>
      </c>
      <c r="B38" s="18">
        <f>INDEX(H17:H36,B11)</f>
        <v/>
      </c>
      <c r="C38" s="8">
        <f>IF(ROUND(B38,6)=0,"OK: fully bought out","Check: bank share remains")</f>
        <v/>
      </c>
    </row>
    <row r="39" ht="33" customHeight="1">
      <c r="A39" s="8" t="inlineStr">
        <is>
          <t>Rent errors (rent on more than the bank's share)</t>
        </is>
      </c>
      <c r="B39" s="22">
        <f>COUNTIF(I17:I36,"Error*")</f>
        <v/>
      </c>
      <c r="C39" s="8">
        <f>IF(B39=0,"OK","ERROR: correct the rent rows")</f>
        <v/>
      </c>
    </row>
    <row r="40">
      <c r="A40" s="30" t="inlineStr">
        <is>
          <t>Rent falls each year because Bank A's share falls by one unit. If the SAC requires units at market value, choose that method and enter each year's market value in column C: the unit price and the rent follow the revalued share.</t>
        </is>
      </c>
    </row>
    <row r="41"/>
    <row r="42">
      <c r="A42" s="10" t="inlineStr">
        <is>
          <t>Illustrative rates only. Use your bank's board-approved pricing; the host bank's Sharia'h Advisory Committee rulings and IFB policy take precedence.</t>
        </is>
      </c>
      <c r="B42" s="11" t="n"/>
      <c r="C42" s="11" t="n"/>
      <c r="D42" s="11" t="n"/>
      <c r="E42" s="11" t="n"/>
      <c r="F42" s="11" t="n"/>
      <c r="G42" s="11" t="n"/>
      <c r="H42" s="11" t="n"/>
      <c r="I42" s="11" t="n"/>
    </row>
  </sheetData>
  <mergeCells count="16">
    <mergeCell ref="C14:I14"/>
    <mergeCell ref="C13:I13"/>
    <mergeCell ref="A2:I2"/>
    <mergeCell ref="C9:I9"/>
    <mergeCell ref="A42:I42"/>
    <mergeCell ref="C39:I39"/>
    <mergeCell ref="C8:I8"/>
    <mergeCell ref="C4:I4"/>
    <mergeCell ref="C12:I12"/>
    <mergeCell ref="A40:I40"/>
    <mergeCell ref="C6:I6"/>
    <mergeCell ref="C7:I7"/>
    <mergeCell ref="C10:I10"/>
    <mergeCell ref="C38:I38"/>
    <mergeCell ref="C11:I11"/>
    <mergeCell ref="C5:I5"/>
  </mergeCells>
  <conditionalFormatting sqref="I17:I36">
    <cfRule type="cellIs" priority="1" operator="equal" dxfId="0">
      <formula>"Error: rent on more than the bank's share"</formula>
    </cfRule>
  </conditionalFormatting>
  <dataValidations count="1">
    <dataValidation sqref="B12" showDropDown="0" showInputMessage="0" showErrorMessage="0" allowBlank="1" errorTitle="Invalid entry" error="Choose a value from the list." type="list">
      <formula1>=List_UnitMethod</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6.xml><?xml version="1.0" encoding="utf-8"?>
<worksheet xmlns="http://schemas.openxmlformats.org/spreadsheetml/2006/main">
  <sheetPr>
    <tabColor rgb="000F4C3A"/>
    <outlinePr summaryBelow="1" summaryRight="1"/>
    <pageSetUpPr fitToPage="1"/>
  </sheetPr>
  <dimension ref="A1:H47"/>
  <sheetViews>
    <sheetView showGridLines="0" workbookViewId="0">
      <pane ySplit="4" topLeftCell="A5" activePane="bottomLeft" state="frozen"/>
      <selection pane="bottomLeft" activeCell="A1" sqref="A1"/>
    </sheetView>
  </sheetViews>
  <sheetFormatPr baseColWidth="8" defaultRowHeight="15"/>
  <cols>
    <col width="34" customWidth="1" min="1" max="1"/>
    <col width="30" customWidth="1" min="2" max="2"/>
    <col width="30" customWidth="1" min="3" max="3"/>
    <col width="15" customWidth="1" min="4" max="4"/>
    <col width="15" customWidth="1" min="5" max="5"/>
    <col width="15" customWidth="1" min="6" max="6"/>
    <col width="10" customWidth="1" min="7" max="7"/>
    <col width="30" customWidth="1" min="8" max="8"/>
  </cols>
  <sheetData>
    <row r="1" ht="26" customHeight="1">
      <c r="A1" s="1" t="inlineStr">
        <is>
          <t>Bai' Salam and Istisna' payment plans</t>
        </is>
      </c>
      <c r="B1" s="2" t="n"/>
      <c r="C1" s="2" t="n"/>
      <c r="D1" s="2" t="n"/>
      <c r="E1" s="2" t="n"/>
      <c r="F1" s="2" t="n"/>
      <c r="G1" s="2" t="n"/>
      <c r="H1" s="2" t="n"/>
    </row>
    <row r="2">
      <c r="A2" s="13" t="inlineStr">
        <is>
          <t>Block A: Salam and parallel Salam, each paid in full at its own signing. Block B: Istisna' and parallel Istisna', paid on certified stages.</t>
        </is>
      </c>
    </row>
    <row r="3"/>
    <row r="4" ht="34" customHeight="1">
      <c r="A4" s="6" t="inlineStr">
        <is>
          <t>Block A: Bai' Salam</t>
        </is>
      </c>
      <c r="B4" s="6" t="inlineStr">
        <is>
          <t>First Salam (Bank A buys)</t>
        </is>
      </c>
      <c r="C4" s="6" t="inlineStr">
        <is>
          <t>Parallel Salam (Bank A sells)</t>
        </is>
      </c>
      <c r="D4" s="6" t="inlineStr">
        <is>
          <t>Note</t>
        </is>
      </c>
      <c r="E4" s="41" t="n"/>
      <c r="F4" s="41" t="n"/>
      <c r="G4" s="41" t="n"/>
      <c r="H4" s="42" t="n"/>
    </row>
    <row r="5" ht="33" customHeight="1">
      <c r="A5" s="8" t="inlineStr">
        <is>
          <t>Counterparty</t>
        </is>
      </c>
      <c r="B5" s="20" t="inlineStr">
        <is>
          <t>Kulubi Highland Coffee Farmers Cooperative Union</t>
        </is>
      </c>
      <c r="C5" s="20" t="inlineStr">
        <is>
          <t>Harar Highland Coffee Export PLC</t>
        </is>
      </c>
      <c r="D5" s="21" t="inlineStr"/>
    </row>
    <row r="6" ht="33" customHeight="1">
      <c r="A6" s="8" t="inlineStr">
        <is>
          <t>Goods description (type, grade, moisture)</t>
        </is>
      </c>
      <c r="B6" s="20" t="inlineStr">
        <is>
          <t>Washed Grade 2 Arabica coffee, moisture 11.5% maximum, in 60 kg bags</t>
        </is>
      </c>
      <c r="C6" s="20" t="inlineStr">
        <is>
          <t>Washed Grade 2 Arabica coffee, moisture 11.5% maximum, in 60 kg bags</t>
        </is>
      </c>
      <c r="D6" s="21" t="inlineStr">
        <is>
          <t>Same description in both contracts</t>
        </is>
      </c>
    </row>
    <row r="7">
      <c r="A7" s="8" t="inlineStr">
        <is>
          <t>Quantity (kg)</t>
        </is>
      </c>
      <c r="B7" s="34" t="n">
        <v>40000</v>
      </c>
      <c r="C7" s="34" t="n">
        <v>40000</v>
      </c>
      <c r="D7" s="21" t="inlineStr"/>
    </row>
    <row r="8">
      <c r="A8" s="8" t="inlineStr">
        <is>
          <t>Price per kg (ETB)</t>
        </is>
      </c>
      <c r="B8" s="25" t="n">
        <v>450</v>
      </c>
      <c r="C8" s="25" t="n">
        <v>477</v>
      </c>
      <c r="D8" s="21" t="inlineStr"/>
    </row>
    <row r="9">
      <c r="A9" s="8" t="inlineStr">
        <is>
          <t>Signing date</t>
        </is>
      </c>
      <c r="B9" s="27" t="n">
        <v>46273</v>
      </c>
      <c r="C9" s="27" t="n">
        <v>46335</v>
      </c>
      <c r="D9" s="21" t="inlineStr">
        <is>
          <t>Parallel Salam signed two months later</t>
        </is>
      </c>
    </row>
    <row r="10">
      <c r="A10" s="8" t="inlineStr">
        <is>
          <t>Delivery date</t>
        </is>
      </c>
      <c r="B10" s="27" t="n">
        <v>46425</v>
      </c>
      <c r="C10" s="27" t="n">
        <v>46430</v>
      </c>
      <c r="D10" s="21" t="inlineStr">
        <is>
          <t>30 Tir and 5 Yekatit 2019 E.C.; the parallel date must be on or after the first</t>
        </is>
      </c>
    </row>
    <row r="11">
      <c r="A11" s="8" t="inlineStr">
        <is>
          <t>Delivery place</t>
        </is>
      </c>
      <c r="B11" s="20" t="inlineStr">
        <is>
          <t>Bank A warehouse, Dire Dawa</t>
        </is>
      </c>
      <c r="C11" s="20" t="inlineStr">
        <is>
          <t>Bank A warehouse, Dire Dawa</t>
        </is>
      </c>
      <c r="D11" s="21" t="inlineStr"/>
    </row>
    <row r="12">
      <c r="A12" s="8" t="inlineStr">
        <is>
          <t>Price = quantity x price per kg (ETB)</t>
        </is>
      </c>
      <c r="B12" s="24">
        <f>B7*B8</f>
        <v/>
      </c>
      <c r="C12" s="24">
        <f>C7*C8</f>
        <v/>
      </c>
      <c r="D12" s="9" t="inlineStr"/>
    </row>
    <row r="13">
      <c r="A13" s="8" t="inlineStr">
        <is>
          <t>Amount paid at signing (ETB)</t>
        </is>
      </c>
      <c r="B13" s="25" t="n">
        <v>18000000</v>
      </c>
      <c r="C13" s="25" t="n">
        <v>19080000</v>
      </c>
      <c r="D13" s="21" t="inlineStr"/>
    </row>
    <row r="14">
      <c r="A14" s="8" t="inlineStr">
        <is>
          <t>Deferred amount (must be zero)</t>
        </is>
      </c>
      <c r="B14" s="24">
        <f>B12-B13</f>
        <v/>
      </c>
      <c r="C14" s="24">
        <f>C12-C13</f>
        <v/>
      </c>
      <c r="D14" s="9" t="inlineStr"/>
    </row>
    <row r="15">
      <c r="A15" s="8" t="inlineStr">
        <is>
          <t>Payment check</t>
        </is>
      </c>
      <c r="B15" s="33">
        <f>IF(B14&lt;&gt;0,"Not valid: Salam price must be paid in full at signing","Valid: paid in full at signing")</f>
        <v/>
      </c>
      <c r="C15" s="33">
        <f>IF(C14&lt;&gt;0,"Not valid: Salam price must be paid in full at signing","Valid: received in full at its signing")</f>
        <v/>
      </c>
      <c r="D15" s="9" t="inlineStr"/>
    </row>
    <row r="16">
      <c r="A16" s="8" t="inlineStr">
        <is>
          <t>Delivery date check</t>
        </is>
      </c>
      <c r="B16" s="33">
        <f>""</f>
        <v/>
      </c>
      <c r="C16" s="33">
        <f>IF(C10&gt;=B10,"OK: on or after the first delivery","Not valid: before the first delivery")</f>
        <v/>
      </c>
      <c r="D16" s="9" t="inlineStr"/>
    </row>
    <row r="17"/>
    <row r="18" ht="20" customHeight="1">
      <c r="A18" s="6" t="inlineStr">
        <is>
          <t>Cash plan: month</t>
        </is>
      </c>
      <c r="B18" s="6" t="inlineStr">
        <is>
          <t>Event</t>
        </is>
      </c>
      <c r="C18" s="6" t="inlineStr">
        <is>
          <t>Out (ETB)</t>
        </is>
      </c>
      <c r="D18" s="6" t="inlineStr">
        <is>
          <t>In (ETB)</t>
        </is>
      </c>
      <c r="E18" s="6" t="inlineStr">
        <is>
          <t>Document</t>
        </is>
      </c>
      <c r="F18" s="41" t="n"/>
      <c r="G18" s="41" t="n"/>
      <c r="H18" s="42" t="n"/>
    </row>
    <row r="19" ht="33" customHeight="1">
      <c r="A19" s="8" t="inlineStr">
        <is>
          <t>Month 0</t>
        </is>
      </c>
      <c r="B19" s="9" t="inlineStr">
        <is>
          <t>Bank A pays the cooperative under the first Salam</t>
        </is>
      </c>
      <c r="C19" s="24">
        <f>B13</f>
        <v/>
      </c>
      <c r="D19" s="9" t="inlineStr"/>
      <c r="E19" s="9" t="inlineStr"/>
    </row>
    <row r="20" ht="33" customHeight="1">
      <c r="A20" s="8" t="inlineStr">
        <is>
          <t>Month 2</t>
        </is>
      </c>
      <c r="B20" s="9" t="inlineStr">
        <is>
          <t>Exporter pays Bank A under the parallel Salam</t>
        </is>
      </c>
      <c r="C20" s="9" t="inlineStr"/>
      <c r="D20" s="24">
        <f>C13</f>
        <v/>
      </c>
      <c r="E20" s="9" t="inlineStr"/>
    </row>
    <row r="21" ht="33" customHeight="1">
      <c r="A21" s="8" t="inlineStr">
        <is>
          <t>Month 5</t>
        </is>
      </c>
      <c r="B21" s="9" t="inlineStr">
        <is>
          <t>Cooperative delivers to Bank A's warehouse; quality inspection</t>
        </is>
      </c>
      <c r="C21" s="9" t="inlineStr"/>
      <c r="D21" s="9" t="inlineStr"/>
      <c r="E21" s="9" t="inlineStr">
        <is>
          <t>Goods Receiving Note</t>
        </is>
      </c>
    </row>
    <row r="22" ht="33" customHeight="1">
      <c r="A22" s="8" t="inlineStr">
        <is>
          <t>Month 5 or later</t>
        </is>
      </c>
      <c r="B22" s="9" t="inlineStr">
        <is>
          <t>Bank A delivers the same description to the exporter</t>
        </is>
      </c>
      <c r="C22" s="9" t="inlineStr"/>
      <c r="D22" s="9" t="inlineStr"/>
      <c r="E22" s="9" t="inlineStr">
        <is>
          <t>Goods Delivery Receipt</t>
        </is>
      </c>
    </row>
    <row r="23">
      <c r="A23" s="38" t="inlineStr">
        <is>
          <t>Bank A's gross margin</t>
        </is>
      </c>
      <c r="B23" s="38" t="inlineStr">
        <is>
          <t>In minus out</t>
        </is>
      </c>
      <c r="C23" s="40">
        <f>SUM(C19:C22)</f>
        <v/>
      </c>
      <c r="D23" s="40">
        <f>SUM(D19:D22)</f>
        <v/>
      </c>
      <c r="E23" s="40">
        <f>D23-C23</f>
        <v/>
      </c>
    </row>
    <row r="24">
      <c r="A24" s="30" t="inlineStr">
        <is>
          <t>The two contracts are independent; neither mentions the other.</t>
        </is>
      </c>
    </row>
    <row r="25"/>
    <row r="26">
      <c r="A26" s="5" t="inlineStr">
        <is>
          <t>Block B: Istisna' and parallel Istisna' (Harar Highland processing warehouse)</t>
        </is>
      </c>
    </row>
    <row r="27" ht="20" customHeight="1">
      <c r="A27" s="6" t="inlineStr">
        <is>
          <t>Input</t>
        </is>
      </c>
      <c r="B27" s="6" t="inlineStr">
        <is>
          <t>Value</t>
        </is>
      </c>
      <c r="C27" s="6" t="inlineStr">
        <is>
          <t>Note</t>
        </is>
      </c>
      <c r="D27" s="41" t="n"/>
      <c r="E27" s="41" t="n"/>
      <c r="F27" s="41" t="n"/>
      <c r="G27" s="41" t="n"/>
      <c r="H27" s="42" t="n"/>
    </row>
    <row r="28" ht="33" customHeight="1">
      <c r="A28" s="8" t="inlineStr">
        <is>
          <t>Customer (Istisna' buyer)</t>
        </is>
      </c>
      <c r="B28" s="20" t="inlineStr">
        <is>
          <t>Harar Highland Coffee Export PLC, new processing warehouse</t>
        </is>
      </c>
      <c r="C28" s="21" t="inlineStr"/>
    </row>
    <row r="29">
      <c r="A29" s="8" t="inlineStr">
        <is>
          <t>Contractor (parallel Istisna')</t>
        </is>
      </c>
      <c r="B29" s="20" t="inlineStr">
        <is>
          <t>Kezira Building Contractors PLC</t>
        </is>
      </c>
      <c r="C29" s="21" t="inlineStr"/>
    </row>
    <row r="30">
      <c r="A30" s="8" t="inlineStr">
        <is>
          <t>Istisna' price to the customer (ETB)</t>
        </is>
      </c>
      <c r="B30" s="34" t="n">
        <v>36000000</v>
      </c>
      <c r="C30" s="21" t="inlineStr"/>
    </row>
    <row r="31" ht="33" customHeight="1">
      <c r="A31" s="8" t="inlineStr">
        <is>
          <t>Customer installments (quarterly from handover)</t>
        </is>
      </c>
      <c r="B31" s="26" t="n">
        <v>8</v>
      </c>
      <c r="C31" s="21" t="inlineStr"/>
    </row>
    <row r="32" ht="33" customHeight="1">
      <c r="A32" s="8" t="inlineStr">
        <is>
          <t>Parallel Istisna' price to the contractor (ETB)</t>
        </is>
      </c>
      <c r="B32" s="34" t="n">
        <v>32000000</v>
      </c>
      <c r="C32" s="21" t="inlineStr"/>
    </row>
    <row r="33">
      <c r="A33" s="8" t="inlineStr">
        <is>
          <t>Customer installment (ETB)</t>
        </is>
      </c>
      <c r="B33" s="46">
        <f>B30/B31</f>
        <v/>
      </c>
      <c r="C33" s="21" t="inlineStr"/>
    </row>
    <row r="34">
      <c r="A34" s="8" t="inlineStr">
        <is>
          <t>Bank A's gross margin (ETB)</t>
        </is>
      </c>
      <c r="B34" s="46">
        <f>B30-B32</f>
        <v/>
      </c>
      <c r="C34" s="21" t="inlineStr"/>
    </row>
    <row r="35"/>
    <row r="36" ht="34" customHeight="1">
      <c r="A36" s="6" t="inlineStr">
        <is>
          <t>Stage and trigger</t>
        </is>
      </c>
      <c r="B36" s="6" t="inlineStr">
        <is>
          <t>Trigger detail</t>
        </is>
      </c>
      <c r="C36" s="6" t="inlineStr">
        <is>
          <t>% of parallel price</t>
        </is>
      </c>
      <c r="D36" s="6" t="inlineStr">
        <is>
          <t>Amount (ETB)</t>
        </is>
      </c>
      <c r="E36" s="6" t="inlineStr">
        <is>
          <t>Certificate No.</t>
        </is>
      </c>
      <c r="F36" s="6" t="inlineStr">
        <is>
          <t>Date certified</t>
        </is>
      </c>
      <c r="G36" s="6" t="inlineStr">
        <is>
          <t>Paid?</t>
        </is>
      </c>
      <c r="H36" s="6" t="inlineStr">
        <is>
          <t>Check</t>
        </is>
      </c>
    </row>
    <row r="37" ht="33" customHeight="1">
      <c r="A37" s="8" t="inlineStr">
        <is>
          <t>1 Mobilization</t>
        </is>
      </c>
      <c r="B37" s="20" t="inlineStr">
        <is>
          <t>Against an advance payment guarantee</t>
        </is>
      </c>
      <c r="C37" s="16" t="n">
        <v>0.2</v>
      </c>
      <c r="D37" s="46">
        <f>ROUND(C37*$B$32,2)</f>
        <v/>
      </c>
      <c r="E37" s="49" t="inlineStr">
        <is>
          <t>APG-0412</t>
        </is>
      </c>
      <c r="F37" s="27" t="n">
        <v>46328</v>
      </c>
      <c r="G37" s="49" t="inlineStr">
        <is>
          <t>Yes</t>
        </is>
      </c>
      <c r="H37" s="48">
        <f>IF(G37="Yes",IF(E37="","Not allowed: no certificate","Paid on certificate"),"Not paid")</f>
        <v/>
      </c>
    </row>
    <row r="38">
      <c r="A38" s="8" t="inlineStr">
        <is>
          <t>2 Foundation and frame</t>
        </is>
      </c>
      <c r="B38" s="20" t="inlineStr">
        <is>
          <t>Certified by the bank's engineer</t>
        </is>
      </c>
      <c r="C38" s="16" t="n">
        <v>0.3</v>
      </c>
      <c r="D38" s="46">
        <f>ROUND(C38*$B$32,2)</f>
        <v/>
      </c>
      <c r="E38" s="49" t="inlineStr">
        <is>
          <t>PC-01</t>
        </is>
      </c>
      <c r="F38" s="27" t="n">
        <v>46405</v>
      </c>
      <c r="G38" s="49" t="inlineStr">
        <is>
          <t>Yes</t>
        </is>
      </c>
      <c r="H38" s="48">
        <f>IF(G38="Yes",IF(E38="","Not allowed: no certificate","Paid on certificate"),"Not paid")</f>
        <v/>
      </c>
    </row>
    <row r="39">
      <c r="A39" s="8" t="inlineStr">
        <is>
          <t>3 Walls and roof</t>
        </is>
      </c>
      <c r="B39" s="20" t="inlineStr">
        <is>
          <t>Certified by the bank's engineer</t>
        </is>
      </c>
      <c r="C39" s="16" t="n">
        <v>0.3</v>
      </c>
      <c r="D39" s="46">
        <f>ROUND(C39*$B$32,2)</f>
        <v/>
      </c>
      <c r="E39" s="49" t="n"/>
      <c r="F39" s="27" t="n"/>
      <c r="G39" s="49" t="inlineStr">
        <is>
          <t>No</t>
        </is>
      </c>
      <c r="H39" s="48">
        <f>IF(G39="Yes",IF(E39="","Not allowed: no certificate","Paid on certificate"),"Not paid")</f>
        <v/>
      </c>
    </row>
    <row r="40" ht="33" customHeight="1">
      <c r="A40" s="8" t="inlineStr">
        <is>
          <t>4 Completion and delivery</t>
        </is>
      </c>
      <c r="B40" s="20" t="inlineStr">
        <is>
          <t>Completion and delivery certificate</t>
        </is>
      </c>
      <c r="C40" s="16" t="n">
        <v>0.15</v>
      </c>
      <c r="D40" s="46">
        <f>ROUND(C40*$B$32,2)</f>
        <v/>
      </c>
      <c r="E40" s="49" t="n"/>
      <c r="F40" s="27" t="n"/>
      <c r="G40" s="49" t="inlineStr">
        <is>
          <t>No</t>
        </is>
      </c>
      <c r="H40" s="48">
        <f>IF(G40="Yes",IF(E40="","Not allowed: no certificate","Paid on certificate"),"Not paid")</f>
        <v/>
      </c>
    </row>
    <row r="41">
      <c r="A41" s="8" t="inlineStr">
        <is>
          <t>5 Retention</t>
        </is>
      </c>
      <c r="B41" s="20" t="inlineStr">
        <is>
          <t>After the 12-month defects period</t>
        </is>
      </c>
      <c r="C41" s="16" t="n">
        <v>0.05</v>
      </c>
      <c r="D41" s="46">
        <f>ROUND(C41*$B$32,2)</f>
        <v/>
      </c>
      <c r="E41" s="49" t="n"/>
      <c r="F41" s="27" t="n"/>
      <c r="G41" s="49" t="inlineStr">
        <is>
          <t>No</t>
        </is>
      </c>
      <c r="H41" s="48">
        <f>IF(G41="Yes",IF(E41="","Not allowed: no certificate","Paid on certificate"),"Not paid")</f>
        <v/>
      </c>
    </row>
    <row r="42">
      <c r="A42" s="38" t="inlineStr">
        <is>
          <t>Total</t>
        </is>
      </c>
      <c r="B42" s="39" t="n"/>
      <c r="C42" s="50">
        <f>SUM(C37:C41)</f>
        <v/>
      </c>
      <c r="D42" s="47">
        <f>SUM(D37:D41)</f>
        <v/>
      </c>
      <c r="E42" s="39" t="n"/>
      <c r="F42" s="39" t="n"/>
      <c r="G42" s="39" t="n"/>
      <c r="H42" s="39" t="n"/>
    </row>
    <row r="43" ht="33" customHeight="1">
      <c r="A43" s="8" t="inlineStr">
        <is>
          <t>Check: stages total 100% and the parallel price</t>
        </is>
      </c>
      <c r="B43" s="33">
        <f>IF(AND(ROUND(C42,6)=1,ROUND(D42-B32,0)=0),"OK","Check stages")</f>
        <v/>
      </c>
    </row>
    <row r="44">
      <c r="A44" s="8" t="inlineStr">
        <is>
          <t>Paid to the contractor to date (ETB)</t>
        </is>
      </c>
      <c r="B44" s="46">
        <f>SUMIF(G37:G41,"Yes",D37:D41)</f>
        <v/>
      </c>
    </row>
    <row r="45">
      <c r="A45" s="30" t="inlineStr">
        <is>
          <t>Every payment trigger is a certified fact on site, not a date.</t>
        </is>
      </c>
    </row>
    <row r="46"/>
    <row r="47">
      <c r="A47" s="10" t="inlineStr">
        <is>
          <t>Illustrative rates only. Use your bank's board-approved pricing; the host bank's Sharia'h Advisory Committee rulings and IFB policy take precedence.</t>
        </is>
      </c>
      <c r="B47" s="11" t="n"/>
      <c r="C47" s="11" t="n"/>
      <c r="D47" s="11" t="n"/>
      <c r="E47" s="11" t="n"/>
      <c r="F47" s="11" t="n"/>
      <c r="G47" s="11" t="n"/>
      <c r="H47" s="11" t="n"/>
    </row>
  </sheetData>
  <mergeCells count="30">
    <mergeCell ref="D10:H10"/>
    <mergeCell ref="A24:H24"/>
    <mergeCell ref="C31:H31"/>
    <mergeCell ref="A45:H45"/>
    <mergeCell ref="E22:H22"/>
    <mergeCell ref="D6:H6"/>
    <mergeCell ref="E18:H18"/>
    <mergeCell ref="C27:H27"/>
    <mergeCell ref="D11:H11"/>
    <mergeCell ref="D13:H13"/>
    <mergeCell ref="E21:H21"/>
    <mergeCell ref="C32:H32"/>
    <mergeCell ref="D7:H7"/>
    <mergeCell ref="D16:H16"/>
    <mergeCell ref="C28:H28"/>
    <mergeCell ref="A2:H2"/>
    <mergeCell ref="E20:H20"/>
    <mergeCell ref="A47:H47"/>
    <mergeCell ref="C34:H34"/>
    <mergeCell ref="E19:H19"/>
    <mergeCell ref="D4:H4"/>
    <mergeCell ref="C30:H30"/>
    <mergeCell ref="D9:H9"/>
    <mergeCell ref="C33:H33"/>
    <mergeCell ref="D12:H12"/>
    <mergeCell ref="D8:H8"/>
    <mergeCell ref="D15:H15"/>
    <mergeCell ref="D5:H5"/>
    <mergeCell ref="D14:H14"/>
    <mergeCell ref="C29:H29"/>
  </mergeCells>
  <conditionalFormatting sqref="B15:C15">
    <cfRule type="expression" priority="1" dxfId="0">
      <formula>LEFT(B15,9)="Not valid"</formula>
    </cfRule>
  </conditionalFormatting>
  <conditionalFormatting sqref="C16">
    <cfRule type="expression" priority="2" dxfId="0">
      <formula>LEFT(C16,9)="Not valid"</formula>
    </cfRule>
  </conditionalFormatting>
  <conditionalFormatting sqref="H37:H41">
    <cfRule type="cellIs" priority="3" operator="equal" dxfId="0">
      <formula>"Not allowed: no certificate"</formula>
    </cfRule>
  </conditionalFormatting>
  <dataValidations count="2">
    <dataValidation sqref="C10" showDropDown="0" showInputMessage="0" showErrorMessage="1" allowBlank="1" errorTitle="Delivery date" error="The parallel Salam delivery date must be on or after the first Salam delivery date." type="date" operator="greaterThanOrEqual">
      <formula1>$B$10</formula1>
    </dataValidation>
    <dataValidation sqref="G37:G41" showDropDown="0" showInputMessage="1" showErrorMessage="1" allowBlank="1" errorTitle="Not allowed" error="Enter Yes or No. Yes is allowed only when the certificate number is entered." prompt="Yes or No. Yes needs a certificate number." type="custom">
      <formula1>AND(OR(G37="Yes",G37="No"),OR(G37="No",LEN(E37)&gt;0))</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7.xml><?xml version="1.0" encoding="utf-8"?>
<worksheet xmlns="http://schemas.openxmlformats.org/spreadsheetml/2006/main">
  <sheetPr>
    <tabColor rgb="000F4C3A"/>
    <outlinePr summaryBelow="1" summaryRight="1"/>
    <pageSetUpPr fitToPage="1"/>
  </sheetPr>
  <dimension ref="A1:F49"/>
  <sheetViews>
    <sheetView showGridLines="0" workbookViewId="0">
      <pane ySplit="4" topLeftCell="A5" activePane="bottomLeft" state="frozen"/>
      <selection pane="bottomLeft" activeCell="A1" sqref="A1"/>
    </sheetView>
  </sheetViews>
  <sheetFormatPr baseColWidth="8" defaultRowHeight="15"/>
  <cols>
    <col width="42" customWidth="1" min="1" max="1"/>
    <col width="22" customWidth="1" min="2" max="2"/>
    <col width="22" customWidth="1" min="3" max="3"/>
    <col width="18" customWidth="1" min="4" max="4"/>
    <col width="20" customWidth="1" min="5" max="5"/>
    <col width="34" customWidth="1" min="6" max="6"/>
  </cols>
  <sheetData>
    <row r="1" ht="26" customHeight="1">
      <c r="A1" s="1" t="inlineStr">
        <is>
          <t>Early settlement rebate, damage charge and charity account</t>
        </is>
      </c>
      <c r="B1" s="2" t="n"/>
      <c r="C1" s="2" t="n"/>
      <c r="D1" s="2" t="n"/>
      <c r="E1" s="2" t="n"/>
      <c r="F1" s="2" t="n"/>
    </row>
    <row r="2">
      <c r="A2" s="13" t="inlineStr">
        <is>
          <t>The customer owes the balance of the sale price by contract. Any rebate is Bank A's decision under its guideline; damage charges go to charity.</t>
        </is>
      </c>
    </row>
    <row r="3"/>
    <row r="4" ht="34" customHeight="1">
      <c r="A4" s="6" t="inlineStr">
        <is>
          <t>Block A: rebate illustration</t>
        </is>
      </c>
      <c r="B4" s="6" t="inlineStr">
        <is>
          <t>Sample 1: outline Murabaha</t>
        </is>
      </c>
      <c r="C4" s="6" t="inlineStr">
        <is>
          <t>Sample 2: Harar Highland</t>
        </is>
      </c>
      <c r="D4" s="6" t="inlineStr">
        <is>
          <t>Note</t>
        </is>
      </c>
      <c r="E4" s="41" t="n"/>
      <c r="F4" s="42" t="n"/>
    </row>
    <row r="5">
      <c r="A5" s="8" t="inlineStr">
        <is>
          <t>Sale price (ETB)</t>
        </is>
      </c>
      <c r="B5" s="25" t="n">
        <v>1120000</v>
      </c>
      <c r="C5" s="25" t="n">
        <v>26625000</v>
      </c>
      <c r="D5" s="21" t="inlineStr"/>
    </row>
    <row r="6">
      <c r="A6" s="8" t="inlineStr">
        <is>
          <t>Total profit (ETB)</t>
        </is>
      </c>
      <c r="B6" s="25" t="n">
        <v>120000</v>
      </c>
      <c r="C6" s="25" t="n">
        <v>1625000</v>
      </c>
      <c r="D6" s="21" t="inlineStr"/>
    </row>
    <row r="7">
      <c r="A7" s="8" t="inlineStr">
        <is>
          <t>Term (months)</t>
        </is>
      </c>
      <c r="B7" s="26" t="n">
        <v>12</v>
      </c>
      <c r="C7" s="26" t="n">
        <v>6</v>
      </c>
      <c r="D7" s="21" t="inlineStr"/>
    </row>
    <row r="8">
      <c r="A8" s="8" t="inlineStr">
        <is>
          <t>Months elapsed at settlement</t>
        </is>
      </c>
      <c r="B8" s="26" t="n">
        <v>8</v>
      </c>
      <c r="C8" s="26" t="n">
        <v>4</v>
      </c>
      <c r="D8" s="21" t="inlineStr">
        <is>
          <t>Sample 2: proceeds arrive at month 4 of 6</t>
        </is>
      </c>
    </row>
    <row r="9">
      <c r="A9" s="8" t="inlineStr">
        <is>
          <t>Installments paid</t>
        </is>
      </c>
      <c r="B9" s="26" t="n">
        <v>8</v>
      </c>
      <c r="C9" s="26" t="n">
        <v>0</v>
      </c>
      <c r="D9" s="21" t="inlineStr"/>
    </row>
    <row r="10">
      <c r="A10" s="8" t="inlineStr">
        <is>
          <t>Installment (ETB)</t>
        </is>
      </c>
      <c r="B10" s="25" t="n">
        <v>93333.33</v>
      </c>
      <c r="C10" s="25" t="n">
        <v>26625000</v>
      </c>
      <c r="D10" s="21" t="inlineStr"/>
    </row>
    <row r="11">
      <c r="A11" s="8" t="inlineStr">
        <is>
          <t>Rebate share (Assumptions)</t>
        </is>
      </c>
      <c r="B11" s="51">
        <f>Rebate_Share</f>
        <v/>
      </c>
      <c r="C11" s="51">
        <f>Rebate_Share</f>
        <v/>
      </c>
      <c r="D11" s="21" t="inlineStr"/>
    </row>
    <row r="12">
      <c r="A12" s="8" t="inlineStr">
        <is>
          <t>Paid = installments paid x installment</t>
        </is>
      </c>
      <c r="B12" s="24">
        <f>B9*B10</f>
        <v/>
      </c>
      <c r="C12" s="24">
        <f>C9*C10</f>
        <v/>
      </c>
      <c r="D12" s="21" t="inlineStr"/>
    </row>
    <row r="13">
      <c r="A13" s="8" t="inlineStr">
        <is>
          <t>Balance of sale price</t>
        </is>
      </c>
      <c r="B13" s="24">
        <f>B5-B12</f>
        <v/>
      </c>
      <c r="C13" s="24">
        <f>C5-C12</f>
        <v/>
      </c>
      <c r="D13" s="21" t="inlineStr"/>
    </row>
    <row r="14">
      <c r="A14" s="8" t="inlineStr">
        <is>
          <t>Remaining months</t>
        </is>
      </c>
      <c r="B14" s="22">
        <f>B7-B8</f>
        <v/>
      </c>
      <c r="C14" s="22">
        <f>C7-C8</f>
        <v/>
      </c>
      <c r="D14" s="21" t="inlineStr"/>
    </row>
    <row r="15" ht="33" customHeight="1">
      <c r="A15" s="8" t="inlineStr">
        <is>
          <t>Unearned profit = profit x remaining months / term</t>
        </is>
      </c>
      <c r="B15" s="24">
        <f>ROUND(B6*B14/B7,2)</f>
        <v/>
      </c>
      <c r="C15" s="24">
        <f>ROUND(C6*C14/C7,2)</f>
        <v/>
      </c>
      <c r="D15" s="21" t="inlineStr"/>
    </row>
    <row r="16">
      <c r="A16" s="8" t="inlineStr">
        <is>
          <t>Rebate (discretionary)</t>
        </is>
      </c>
      <c r="B16" s="24">
        <f>ROUND(B15*B11,2)</f>
        <v/>
      </c>
      <c r="C16" s="24">
        <f>ROUND(C15*C11,2)</f>
        <v/>
      </c>
      <c r="D16" s="21" t="inlineStr"/>
    </row>
    <row r="17">
      <c r="A17" s="8" t="inlineStr">
        <is>
          <t>Amount to settle if approved</t>
        </is>
      </c>
      <c r="B17" s="28">
        <f>B13-B16</f>
        <v/>
      </c>
      <c r="C17" s="28">
        <f>C13-C16</f>
        <v/>
      </c>
      <c r="D17" s="21" t="inlineStr"/>
    </row>
    <row r="18">
      <c r="A18" s="52" t="inlineStr">
        <is>
          <t>Rebate is at Bank A's discretion under its guideline. It is never promised in the contract.</t>
        </is>
      </c>
    </row>
    <row r="19"/>
    <row r="20" ht="20" customHeight="1">
      <c r="A20" s="6" t="inlineStr">
        <is>
          <t>Block B: damage charge</t>
        </is>
      </c>
      <c r="B20" s="6" t="inlineStr">
        <is>
          <t>Value</t>
        </is>
      </c>
      <c r="C20" s="6" t="inlineStr">
        <is>
          <t>Note</t>
        </is>
      </c>
      <c r="D20" s="41" t="n"/>
      <c r="E20" s="41" t="n"/>
      <c r="F20" s="42" t="n"/>
    </row>
    <row r="21">
      <c r="A21" s="8" t="inlineStr">
        <is>
          <t>Overdue amount (ETB)</t>
        </is>
      </c>
      <c r="B21" s="25" t="n">
        <v>93333.33</v>
      </c>
      <c r="C21" s="21" t="inlineStr"/>
    </row>
    <row r="22">
      <c r="A22" s="8" t="inlineStr">
        <is>
          <t>Days late</t>
        </is>
      </c>
      <c r="B22" s="26" t="n">
        <v>45</v>
      </c>
      <c r="C22" s="21" t="inlineStr"/>
    </row>
    <row r="23">
      <c r="A23" s="8" t="inlineStr">
        <is>
          <t>Good reason documented?</t>
        </is>
      </c>
      <c r="B23" s="20" t="inlineStr">
        <is>
          <t>No</t>
        </is>
      </c>
      <c r="C23" s="21" t="inlineStr">
        <is>
          <t>Yes means no damage charge</t>
        </is>
      </c>
    </row>
    <row r="24">
      <c r="A24" s="8" t="inlineStr">
        <is>
          <t>Damage rate a month (Assumptions)</t>
        </is>
      </c>
      <c r="B24" s="18">
        <f>Damage_Rate_Monthly</f>
        <v/>
      </c>
      <c r="C24" s="21" t="inlineStr"/>
    </row>
    <row r="25">
      <c r="A25" s="8" t="inlineStr">
        <is>
          <t>Months late = days / 30</t>
        </is>
      </c>
      <c r="B25" s="53">
        <f>B22/30</f>
        <v/>
      </c>
      <c r="C25" s="21" t="inlineStr"/>
    </row>
    <row r="26">
      <c r="A26" s="8" t="inlineStr">
        <is>
          <t>Damage charge</t>
        </is>
      </c>
      <c r="B26" s="28">
        <f>IF(B23="No",ROUND(B21*B24*B25,2),0)</f>
        <v/>
      </c>
      <c r="C26" s="21" t="inlineStr"/>
    </row>
    <row r="27" ht="33" customHeight="1">
      <c r="A27" s="8" t="inlineStr">
        <is>
          <t>Destination</t>
        </is>
      </c>
      <c r="B27" s="8" t="inlineStr">
        <is>
          <t>Charity account, not income</t>
        </is>
      </c>
      <c r="C27" s="21" t="inlineStr"/>
    </row>
    <row r="28">
      <c r="A28" s="30" t="inlineStr">
        <is>
          <t>The sale price does not change. The damage charge is credited to the charity account and disbursed as the SAC and bank policy direct.</t>
        </is>
      </c>
    </row>
    <row r="29"/>
    <row r="30">
      <c r="A30" s="5" t="inlineStr">
        <is>
          <t>Block C: charity account log (Dire Dawa branch, Sene 2018 E.C.)</t>
        </is>
      </c>
    </row>
    <row r="31" ht="34" customHeight="1">
      <c r="A31" s="6" t="inlineStr">
        <is>
          <t>Date</t>
        </is>
      </c>
      <c r="B31" s="6" t="inlineStr">
        <is>
          <t>Customer</t>
        </is>
      </c>
      <c r="C31" s="6" t="inlineStr">
        <is>
          <t>Installment No.</t>
        </is>
      </c>
      <c r="D31" s="6" t="inlineStr">
        <is>
          <t>Damage amount (ETB)</t>
        </is>
      </c>
      <c r="E31" s="6" t="inlineStr">
        <is>
          <t>Transferred to charity fund</t>
        </is>
      </c>
      <c r="F31" s="6" t="inlineStr">
        <is>
          <t>Approved use</t>
        </is>
      </c>
    </row>
    <row r="32">
      <c r="A32" s="27" t="n">
        <v>46182</v>
      </c>
      <c r="B32" s="20" t="inlineStr">
        <is>
          <t>Fatuma Ali</t>
        </is>
      </c>
      <c r="C32" s="26" t="n">
        <v>4</v>
      </c>
      <c r="D32" s="25" t="n">
        <v>700</v>
      </c>
      <c r="E32" s="27" t="n">
        <v>46210</v>
      </c>
      <c r="F32" s="20" t="inlineStr">
        <is>
          <t>Charity fund, as the SAC directs</t>
        </is>
      </c>
    </row>
    <row r="33">
      <c r="A33" s="27" t="n">
        <v>46184</v>
      </c>
      <c r="B33" s="20" t="inlineStr">
        <is>
          <t>Bekele Tsegaye</t>
        </is>
      </c>
      <c r="C33" s="26" t="n">
        <v>7</v>
      </c>
      <c r="D33" s="25" t="n">
        <v>1250</v>
      </c>
      <c r="E33" s="27" t="n">
        <v>46210</v>
      </c>
      <c r="F33" s="20" t="inlineStr">
        <is>
          <t>Charity fund, as the SAC directs</t>
        </is>
      </c>
    </row>
    <row r="34">
      <c r="A34" s="27" t="n">
        <v>46186</v>
      </c>
      <c r="B34" s="20" t="inlineStr">
        <is>
          <t>Hamza Omar</t>
        </is>
      </c>
      <c r="C34" s="26" t="n">
        <v>2</v>
      </c>
      <c r="D34" s="25" t="n">
        <v>2400</v>
      </c>
      <c r="E34" s="27" t="n">
        <v>46210</v>
      </c>
      <c r="F34" s="20" t="inlineStr">
        <is>
          <t>Charity fund, as the SAC directs</t>
        </is>
      </c>
    </row>
    <row r="35">
      <c r="A35" s="27" t="n">
        <v>46188</v>
      </c>
      <c r="B35" s="20" t="inlineStr">
        <is>
          <t>Selam Desta</t>
        </is>
      </c>
      <c r="C35" s="26" t="n">
        <v>11</v>
      </c>
      <c r="D35" s="25" t="n">
        <v>3600</v>
      </c>
      <c r="E35" s="27" t="n">
        <v>46210</v>
      </c>
      <c r="F35" s="20" t="inlineStr">
        <is>
          <t>Charity fund, as the SAC directs</t>
        </is>
      </c>
    </row>
    <row r="36">
      <c r="A36" s="27" t="n">
        <v>46190</v>
      </c>
      <c r="B36" s="20" t="inlineStr">
        <is>
          <t>Kedir Ahmed</t>
        </is>
      </c>
      <c r="C36" s="26" t="n">
        <v>5</v>
      </c>
      <c r="D36" s="25" t="n">
        <v>1850</v>
      </c>
      <c r="E36" s="27" t="n">
        <v>46210</v>
      </c>
      <c r="F36" s="20" t="inlineStr">
        <is>
          <t>Charity fund, as the SAC directs</t>
        </is>
      </c>
    </row>
    <row r="37">
      <c r="A37" s="27" t="n">
        <v>46192</v>
      </c>
      <c r="B37" s="20" t="inlineStr">
        <is>
          <t>Rahel Tadesse</t>
        </is>
      </c>
      <c r="C37" s="26" t="n">
        <v>9</v>
      </c>
      <c r="D37" s="25" t="n">
        <v>4200</v>
      </c>
      <c r="E37" s="27" t="n">
        <v>46210</v>
      </c>
      <c r="F37" s="20" t="inlineStr">
        <is>
          <t>Charity fund, as the SAC directs</t>
        </is>
      </c>
    </row>
    <row r="38">
      <c r="A38" s="27" t="n">
        <v>46194</v>
      </c>
      <c r="B38" s="20" t="inlineStr">
        <is>
          <t>Yusuf Ibrahim</t>
        </is>
      </c>
      <c r="C38" s="26" t="n">
        <v>3</v>
      </c>
      <c r="D38" s="25" t="n">
        <v>2750</v>
      </c>
      <c r="E38" s="27" t="n">
        <v>46210</v>
      </c>
      <c r="F38" s="20" t="inlineStr">
        <is>
          <t>Charity fund, as the SAC directs</t>
        </is>
      </c>
    </row>
    <row r="39">
      <c r="A39" s="27" t="n">
        <v>46196</v>
      </c>
      <c r="B39" s="20" t="inlineStr">
        <is>
          <t>Meseret Alemu</t>
        </is>
      </c>
      <c r="C39" s="26" t="n">
        <v>14</v>
      </c>
      <c r="D39" s="25" t="n">
        <v>3100</v>
      </c>
      <c r="E39" s="27" t="n">
        <v>46210</v>
      </c>
      <c r="F39" s="20" t="inlineStr">
        <is>
          <t>Charity fund, as the SAC directs</t>
        </is>
      </c>
    </row>
    <row r="40">
      <c r="A40" s="27" t="n">
        <v>46198</v>
      </c>
      <c r="B40" s="20" t="inlineStr">
        <is>
          <t>Abdulahi Hassen</t>
        </is>
      </c>
      <c r="C40" s="26" t="n">
        <v>6</v>
      </c>
      <c r="D40" s="25" t="n">
        <v>5000</v>
      </c>
      <c r="E40" s="27" t="n">
        <v>46210</v>
      </c>
      <c r="F40" s="20" t="inlineStr">
        <is>
          <t>Charity fund, as the SAC directs</t>
        </is>
      </c>
    </row>
    <row r="41">
      <c r="A41" s="27" t="n">
        <v>46200</v>
      </c>
      <c r="B41" s="20" t="inlineStr">
        <is>
          <t>Tigist Mulugeta</t>
        </is>
      </c>
      <c r="C41" s="26" t="n">
        <v>8</v>
      </c>
      <c r="D41" s="25" t="n">
        <v>1500</v>
      </c>
      <c r="E41" s="27" t="n">
        <v>46210</v>
      </c>
      <c r="F41" s="20" t="inlineStr">
        <is>
          <t>Charity fund, as the SAC directs</t>
        </is>
      </c>
    </row>
    <row r="42">
      <c r="A42" s="27" t="n">
        <v>46202</v>
      </c>
      <c r="B42" s="20" t="inlineStr">
        <is>
          <t>Nuredin Musa</t>
        </is>
      </c>
      <c r="C42" s="26" t="n">
        <v>10</v>
      </c>
      <c r="D42" s="25" t="n">
        <v>2950</v>
      </c>
      <c r="E42" s="27" t="n">
        <v>46210</v>
      </c>
      <c r="F42" s="20" t="inlineStr">
        <is>
          <t>Charity fund, as the SAC directs</t>
        </is>
      </c>
    </row>
    <row r="43">
      <c r="A43" s="27" t="n">
        <v>46204</v>
      </c>
      <c r="B43" s="20" t="inlineStr">
        <is>
          <t>Hirut Bekele</t>
        </is>
      </c>
      <c r="C43" s="26" t="n">
        <v>12</v>
      </c>
      <c r="D43" s="25" t="n">
        <v>3400</v>
      </c>
      <c r="E43" s="27" t="n">
        <v>46210</v>
      </c>
      <c r="F43" s="20" t="inlineStr">
        <is>
          <t>Charity fund, as the SAC directs</t>
        </is>
      </c>
    </row>
    <row r="44">
      <c r="A44" s="27" t="n">
        <v>46206</v>
      </c>
      <c r="B44" s="20" t="inlineStr">
        <is>
          <t>Jemal Abdi</t>
        </is>
      </c>
      <c r="C44" s="26" t="n">
        <v>5</v>
      </c>
      <c r="D44" s="25" t="n">
        <v>2300</v>
      </c>
      <c r="E44" s="27" t="n">
        <v>46210</v>
      </c>
      <c r="F44" s="20" t="inlineStr">
        <is>
          <t>Charity fund, as the SAC directs</t>
        </is>
      </c>
    </row>
    <row r="45">
      <c r="A45" s="27" t="n">
        <v>46208</v>
      </c>
      <c r="B45" s="20" t="inlineStr">
        <is>
          <t>Zemzem Mohammed</t>
        </is>
      </c>
      <c r="C45" s="26" t="n">
        <v>16</v>
      </c>
      <c r="D45" s="25" t="n">
        <v>3400</v>
      </c>
      <c r="E45" s="27" t="n">
        <v>46210</v>
      </c>
      <c r="F45" s="20" t="inlineStr">
        <is>
          <t>Charity fund, as the SAC directs</t>
        </is>
      </c>
    </row>
    <row r="46">
      <c r="A46" s="38" t="inlineStr">
        <is>
          <t>Total</t>
        </is>
      </c>
      <c r="B46" s="38">
        <f>COUNT(D32:D45)&amp;" items"</f>
        <v/>
      </c>
      <c r="C46" s="39" t="n"/>
      <c r="D46" s="40">
        <f>SUM(D32:D45)</f>
        <v/>
      </c>
      <c r="E46" s="39" t="n"/>
      <c r="F46" s="39" t="n"/>
    </row>
    <row r="47">
      <c r="A47" s="30" t="inlineStr">
        <is>
          <t>Damage charges are never counted in IFB income, not even for a month.</t>
        </is>
      </c>
    </row>
    <row r="48"/>
    <row r="49">
      <c r="A49" s="10" t="inlineStr">
        <is>
          <t>Illustrative rates only. Use your bank's board-approved pricing; the host bank's Sharia'h Advisory Committee rulings and IFB policy take precedence.</t>
        </is>
      </c>
      <c r="B49" s="11" t="n"/>
      <c r="C49" s="11" t="n"/>
      <c r="D49" s="11" t="n"/>
      <c r="E49" s="11" t="n"/>
      <c r="F49" s="11" t="n"/>
    </row>
  </sheetData>
  <mergeCells count="27">
    <mergeCell ref="D11:F11"/>
    <mergeCell ref="D13:F13"/>
    <mergeCell ref="C23:F23"/>
    <mergeCell ref="D17:F17"/>
    <mergeCell ref="A18:F18"/>
    <mergeCell ref="D7:F7"/>
    <mergeCell ref="D16:F16"/>
    <mergeCell ref="A2:F2"/>
    <mergeCell ref="A47:F47"/>
    <mergeCell ref="D4:F4"/>
    <mergeCell ref="D12:F12"/>
    <mergeCell ref="D9:F9"/>
    <mergeCell ref="C24:F24"/>
    <mergeCell ref="D8:F8"/>
    <mergeCell ref="D15:F15"/>
    <mergeCell ref="D14:F14"/>
    <mergeCell ref="A28:F28"/>
    <mergeCell ref="D5:F5"/>
    <mergeCell ref="C20:F20"/>
    <mergeCell ref="C26:F26"/>
    <mergeCell ref="C25:F25"/>
    <mergeCell ref="D10:F10"/>
    <mergeCell ref="C22:F22"/>
    <mergeCell ref="A49:F49"/>
    <mergeCell ref="C21:F21"/>
    <mergeCell ref="C27:F27"/>
    <mergeCell ref="D6:F6"/>
  </mergeCells>
  <dataValidations count="1">
    <dataValidation sqref="B23"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8.xml><?xml version="1.0" encoding="utf-8"?>
<worksheet xmlns="http://schemas.openxmlformats.org/spreadsheetml/2006/main">
  <sheetPr>
    <tabColor rgb="000F4C3A"/>
    <outlinePr summaryBelow="1" summaryRight="1"/>
    <pageSetUpPr fitToPage="1"/>
  </sheetPr>
  <dimension ref="A1:K46"/>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42" customWidth="1" min="2" max="2"/>
    <col width="11" customWidth="1" min="3" max="3"/>
    <col width="26" customWidth="1" min="4" max="4"/>
    <col width="8" customWidth="1" min="5" max="5"/>
    <col width="22" customWidth="1" min="6" max="6"/>
    <col width="17" customWidth="1" min="7" max="7"/>
    <col width="12" customWidth="1" min="8" max="8"/>
    <col width="18" customWidth="1" min="9" max="9"/>
    <col width="34" customWidth="1" min="10" max="10"/>
    <col width="12" customWidth="1" min="11" max="11"/>
  </cols>
  <sheetData>
    <row r="1" ht="26" customHeight="1">
      <c r="A1" s="1" t="inlineStr">
        <is>
          <t>Financing document checklist: Harar Highland Murabaha, in signing order</t>
        </is>
      </c>
      <c r="B1" s="2" t="n"/>
      <c r="C1" s="2" t="n"/>
      <c r="D1" s="2" t="n"/>
      <c r="E1" s="2" t="n"/>
      <c r="F1" s="2" t="n"/>
      <c r="G1" s="2" t="n"/>
      <c r="H1" s="2" t="n"/>
      <c r="I1" s="2" t="n"/>
      <c r="J1" s="2" t="n"/>
      <c r="K1" s="2" t="n"/>
    </row>
    <row r="2">
      <c r="A2" s="13" t="inlineStr">
        <is>
          <t>Enter the date and time each document is signed. After No. names the row the document must follow; the check shows Too early in red when it is dated before that row.</t>
        </is>
      </c>
    </row>
    <row r="3"/>
    <row r="4" ht="34" customHeight="1">
      <c r="A4" s="6" t="inlineStr">
        <is>
          <t>No.</t>
        </is>
      </c>
      <c r="B4" s="6" t="inlineStr">
        <is>
          <t>Document</t>
        </is>
      </c>
      <c r="C4" s="6" t="inlineStr">
        <is>
          <t>Mode</t>
        </is>
      </c>
      <c r="D4" s="6" t="inlineStr">
        <is>
          <t>Must come after (event or document)</t>
        </is>
      </c>
      <c r="E4" s="6" t="inlineStr">
        <is>
          <t>After No.</t>
        </is>
      </c>
      <c r="F4" s="6" t="inlineStr">
        <is>
          <t>Signed by</t>
        </is>
      </c>
      <c r="G4" s="6" t="inlineStr">
        <is>
          <t>Date and time</t>
        </is>
      </c>
      <c r="H4" s="6" t="inlineStr">
        <is>
          <t>Status</t>
        </is>
      </c>
      <c r="I4" s="6" t="inlineStr">
        <is>
          <t>Owner</t>
        </is>
      </c>
      <c r="J4" s="6" t="inlineStr">
        <is>
          <t>Comment</t>
        </is>
      </c>
      <c r="K4" s="6" t="inlineStr">
        <is>
          <t>Check</t>
        </is>
      </c>
    </row>
    <row r="5">
      <c r="A5" s="19" t="n">
        <v>1</v>
      </c>
      <c r="B5" s="20" t="inlineStr">
        <is>
          <t>Interview notes and business visit report</t>
        </is>
      </c>
      <c r="C5" s="49" t="inlineStr">
        <is>
          <t>All</t>
        </is>
      </c>
      <c r="D5" s="20" t="inlineStr">
        <is>
          <t>Request</t>
        </is>
      </c>
      <c r="E5" s="26" t="n"/>
      <c r="F5" s="20" t="inlineStr">
        <is>
          <t>Relationship manager</t>
        </is>
      </c>
      <c r="G5" s="54" t="n">
        <v>46296.41666666666</v>
      </c>
      <c r="H5" s="49" t="inlineStr">
        <is>
          <t>Signed</t>
        </is>
      </c>
      <c r="I5" s="20" t="inlineStr">
        <is>
          <t>RM</t>
        </is>
      </c>
      <c r="J5" s="20" t="inlineStr"/>
      <c r="K5" s="43">
        <f>IF(OR(G5="",E5=""),"",IF(INDEX($G$5:$G$22,E5)="","",IF(G5&lt;INDEX($G$5:$G$22,E5),"Too early","OK")))</f>
        <v/>
      </c>
    </row>
    <row r="6" ht="33" customHeight="1">
      <c r="A6" s="19" t="n">
        <v>2</v>
      </c>
      <c r="B6" s="20" t="inlineStr">
        <is>
          <t>Credit information inquiry report (NBE credit reference system)</t>
        </is>
      </c>
      <c r="C6" s="49" t="inlineStr">
        <is>
          <t>All</t>
        </is>
      </c>
      <c r="D6" s="20" t="inlineStr">
        <is>
          <t>Interview</t>
        </is>
      </c>
      <c r="E6" s="26" t="n">
        <v>1</v>
      </c>
      <c r="F6" s="20" t="inlineStr">
        <is>
          <t>Relationship manager</t>
        </is>
      </c>
      <c r="G6" s="54" t="n">
        <v>46296.625</v>
      </c>
      <c r="H6" s="49" t="inlineStr">
        <is>
          <t>Signed</t>
        </is>
      </c>
      <c r="I6" s="20" t="inlineStr">
        <is>
          <t>RM</t>
        </is>
      </c>
      <c r="J6" s="20" t="inlineStr"/>
      <c r="K6" s="43">
        <f>IF(OR(G6="",E6=""),"",IF(INDEX($G$5:$G$22,E6)="","",IF(G6&lt;INDEX($G$5:$G$22,E6),"Too early","OK")))</f>
        <v/>
      </c>
    </row>
    <row r="7" ht="33" customHeight="1">
      <c r="A7" s="19" t="n">
        <v>3</v>
      </c>
      <c r="B7" s="20" t="inlineStr">
        <is>
          <t>Collateral valuation, maker and checker</t>
        </is>
      </c>
      <c r="C7" s="49" t="inlineStr">
        <is>
          <t>All</t>
        </is>
      </c>
      <c r="D7" s="20" t="inlineStr">
        <is>
          <t>Business visit</t>
        </is>
      </c>
      <c r="E7" s="26" t="n">
        <v>1</v>
      </c>
      <c r="F7" s="20" t="inlineStr">
        <is>
          <t>Valuators (maker and checker)</t>
        </is>
      </c>
      <c r="G7" s="54" t="n">
        <v>46300.58333333334</v>
      </c>
      <c r="H7" s="49" t="inlineStr">
        <is>
          <t>Signed</t>
        </is>
      </c>
      <c r="I7" s="20" t="inlineStr">
        <is>
          <t>Valuator</t>
        </is>
      </c>
      <c r="J7" s="20" t="inlineStr">
        <is>
          <t>Warehouse and truck</t>
        </is>
      </c>
      <c r="K7" s="43">
        <f>IF(OR(G7="",E7=""),"",IF(INDEX($G$5:$G$22,E7)="","",IF(G7&lt;INDEX($G$5:$G$22,E7),"Too early","OK")))</f>
        <v/>
      </c>
    </row>
    <row r="8" ht="33" customHeight="1">
      <c r="A8" s="19" t="n">
        <v>4</v>
      </c>
      <c r="B8" s="20" t="inlineStr">
        <is>
          <t>Financing Approval Form with decision and conditions</t>
        </is>
      </c>
      <c r="C8" s="49" t="inlineStr">
        <is>
          <t>All</t>
        </is>
      </c>
      <c r="D8" s="20" t="inlineStr">
        <is>
          <t>Appraisal</t>
        </is>
      </c>
      <c r="E8" s="26" t="n">
        <v>3</v>
      </c>
      <c r="F8" s="20" t="inlineStr">
        <is>
          <t>Analyst and committee</t>
        </is>
      </c>
      <c r="G8" s="54" t="n">
        <v>46307.45833333334</v>
      </c>
      <c r="H8" s="49" t="inlineStr">
        <is>
          <t>Signed</t>
        </is>
      </c>
      <c r="I8" s="20" t="inlineStr">
        <is>
          <t>Analyst</t>
        </is>
      </c>
      <c r="J8" s="20" t="inlineStr"/>
      <c r="K8" s="43">
        <f>IF(OR(G8="",E8=""),"",IF(INDEX($G$5:$G$22,E8)="","",IF(G8&lt;INDEX($G$5:$G$22,E8),"Too early","OK")))</f>
        <v/>
      </c>
    </row>
    <row r="9" ht="33" customHeight="1">
      <c r="A9" s="19" t="n">
        <v>5</v>
      </c>
      <c r="B9" s="20" t="inlineStr">
        <is>
          <t>Master Murabaha Financing Agreement (Promise to Purchase)</t>
        </is>
      </c>
      <c r="C9" s="49" t="inlineStr">
        <is>
          <t>Murabaha</t>
        </is>
      </c>
      <c r="D9" s="20" t="inlineStr">
        <is>
          <t>Approval</t>
        </is>
      </c>
      <c r="E9" s="26" t="n">
        <v>4</v>
      </c>
      <c r="F9" s="20" t="inlineStr">
        <is>
          <t>Customer and Bank A</t>
        </is>
      </c>
      <c r="G9" s="54" t="n">
        <v>46309.375</v>
      </c>
      <c r="H9" s="49" t="inlineStr">
        <is>
          <t>Signed</t>
        </is>
      </c>
      <c r="I9" s="20" t="inlineStr">
        <is>
          <t>RM</t>
        </is>
      </c>
      <c r="J9" s="20" t="inlineStr"/>
      <c r="K9" s="43">
        <f>IF(OR(G9="",E9=""),"",IF(INDEX($G$5:$G$22,E9)="","",IF(G9&lt;INDEX($G$5:$G$22,E9),"Too early","OK")))</f>
        <v/>
      </c>
    </row>
    <row r="10">
      <c r="A10" s="19" t="n">
        <v>6</v>
      </c>
      <c r="B10" s="20" t="inlineStr">
        <is>
          <t>Purchase order</t>
        </is>
      </c>
      <c r="C10" s="49" t="inlineStr">
        <is>
          <t>Murabaha</t>
        </is>
      </c>
      <c r="D10" s="20" t="inlineStr">
        <is>
          <t>MMFA</t>
        </is>
      </c>
      <c r="E10" s="26" t="n">
        <v>5</v>
      </c>
      <c r="F10" s="20" t="inlineStr">
        <is>
          <t>Customer</t>
        </is>
      </c>
      <c r="G10" s="54" t="n">
        <v>46309.4375</v>
      </c>
      <c r="H10" s="49" t="inlineStr">
        <is>
          <t>Signed</t>
        </is>
      </c>
      <c r="I10" s="20" t="inlineStr">
        <is>
          <t>RM</t>
        </is>
      </c>
      <c r="J10" s="20" t="inlineStr"/>
      <c r="K10" s="43">
        <f>IF(OR(G10="",E10=""),"",IF(INDEX($G$5:$G$22,E10)="","",IF(G10&lt;INDEX($G$5:$G$22,E10),"Too early","OK")))</f>
        <v/>
      </c>
    </row>
    <row r="11">
      <c r="A11" s="19" t="n">
        <v>7</v>
      </c>
      <c r="B11" s="20" t="inlineStr">
        <is>
          <t>Agency (Wakalah) agreement</t>
        </is>
      </c>
      <c r="C11" s="49" t="inlineStr">
        <is>
          <t>Murabaha</t>
        </is>
      </c>
      <c r="D11" s="20" t="inlineStr">
        <is>
          <t>Purchase order</t>
        </is>
      </c>
      <c r="E11" s="26" t="n">
        <v>6</v>
      </c>
      <c r="F11" s="20" t="inlineStr">
        <is>
          <t>Customer and Bank A</t>
        </is>
      </c>
      <c r="G11" s="54" t="n">
        <v>46309.47916666666</v>
      </c>
      <c r="H11" s="49" t="inlineStr">
        <is>
          <t>Signed</t>
        </is>
      </c>
      <c r="I11" s="20" t="inlineStr">
        <is>
          <t>Legal advisor</t>
        </is>
      </c>
      <c r="J11" s="20" t="inlineStr"/>
      <c r="K11" s="43">
        <f>IF(OR(G11="",E11=""),"",IF(INDEX($G$5:$G$22,E11)="","",IF(G11&lt;INDEX($G$5:$G$22,E11),"Too early","OK")))</f>
        <v/>
      </c>
    </row>
    <row r="12">
      <c r="A12" s="19" t="n">
        <v>8</v>
      </c>
      <c r="B12" s="20" t="inlineStr">
        <is>
          <t>Mortgage and pledge contracts, registered</t>
        </is>
      </c>
      <c r="C12" s="49" t="inlineStr">
        <is>
          <t>All</t>
        </is>
      </c>
      <c r="D12" s="20" t="inlineStr">
        <is>
          <t>Approval</t>
        </is>
      </c>
      <c r="E12" s="26" t="n">
        <v>4</v>
      </c>
      <c r="F12" s="20" t="inlineStr">
        <is>
          <t>Legal advisor</t>
        </is>
      </c>
      <c r="G12" s="54" t="n">
        <v>46311.625</v>
      </c>
      <c r="H12" s="49" t="inlineStr">
        <is>
          <t>Registered</t>
        </is>
      </c>
      <c r="I12" s="20" t="inlineStr">
        <is>
          <t>Legal advisor</t>
        </is>
      </c>
      <c r="J12" s="20" t="inlineStr">
        <is>
          <t>Warehouse mortgage and truck pledge</t>
        </is>
      </c>
      <c r="K12" s="43">
        <f>IF(OR(G12="",E12=""),"",IF(INDEX($G$5:$G$22,E12)="","",IF(G12&lt;INDEX($G$5:$G$22,E12),"Too early","OK")))</f>
        <v/>
      </c>
    </row>
    <row r="13" ht="33" customHeight="1">
      <c r="A13" s="19" t="n">
        <v>9</v>
      </c>
      <c r="B13" s="20" t="inlineStr">
        <is>
          <t>Takaful policies, Bank A as loss payee</t>
        </is>
      </c>
      <c r="C13" s="49" t="inlineStr">
        <is>
          <t>All</t>
        </is>
      </c>
      <c r="D13" s="20" t="inlineStr">
        <is>
          <t>Approval</t>
        </is>
      </c>
      <c r="E13" s="26" t="n">
        <v>4</v>
      </c>
      <c r="F13" s="20" t="inlineStr">
        <is>
          <t>Financing administrator</t>
        </is>
      </c>
      <c r="G13" s="54" t="n">
        <v>46312.41666666666</v>
      </c>
      <c r="H13" s="49" t="inlineStr">
        <is>
          <t>Signed</t>
        </is>
      </c>
      <c r="I13" s="20" t="inlineStr">
        <is>
          <t>Financing administrator</t>
        </is>
      </c>
      <c r="J13" s="20" t="inlineStr"/>
      <c r="K13" s="43">
        <f>IF(OR(G13="",E13=""),"",IF(INDEX($G$5:$G$22,E13)="","",IF(G13&lt;INDEX($G$5:$G$22,E13),"Too early","OK")))</f>
        <v/>
      </c>
    </row>
    <row r="14" ht="33" customHeight="1">
      <c r="A14" s="19" t="n">
        <v>10</v>
      </c>
      <c r="B14" s="20" t="inlineStr">
        <is>
          <t>Disbursement checklist signed by maker and checker</t>
        </is>
      </c>
      <c r="C14" s="49" t="inlineStr">
        <is>
          <t>All</t>
        </is>
      </c>
      <c r="D14" s="20" t="inlineStr">
        <is>
          <t>Items 4 to 9 complete</t>
        </is>
      </c>
      <c r="E14" s="26" t="n">
        <v>9</v>
      </c>
      <c r="F14" s="20" t="inlineStr">
        <is>
          <t>Financing administrator</t>
        </is>
      </c>
      <c r="G14" s="54" t="n">
        <v>46314.375</v>
      </c>
      <c r="H14" s="49" t="inlineStr">
        <is>
          <t>Signed</t>
        </is>
      </c>
      <c r="I14" s="20" t="inlineStr">
        <is>
          <t>Financing administrator</t>
        </is>
      </c>
      <c r="J14" s="20" t="inlineStr">
        <is>
          <t>Check items 4 to 9; the latest is item 9</t>
        </is>
      </c>
      <c r="K14" s="43">
        <f>IF(OR(G14="",E14=""),"",IF(INDEX($G$5:$G$22,E14)="","",IF(G14&lt;INDEX($G$5:$G$22,E14),"Too early","OK")))</f>
        <v/>
      </c>
    </row>
    <row r="15" ht="33" customHeight="1">
      <c r="A15" s="19" t="n">
        <v>11</v>
      </c>
      <c r="B15" s="20" t="inlineStr">
        <is>
          <t>Payment to suppliers directly, invoices in Bank A's name</t>
        </is>
      </c>
      <c r="C15" s="49" t="inlineStr">
        <is>
          <t>Murabaha</t>
        </is>
      </c>
      <c r="D15" s="20" t="inlineStr">
        <is>
          <t>Item 10</t>
        </is>
      </c>
      <c r="E15" s="26" t="n">
        <v>10</v>
      </c>
      <c r="F15" s="20" t="inlineStr">
        <is>
          <t>Financing administrator</t>
        </is>
      </c>
      <c r="G15" s="54" t="n">
        <v>46314.58333333334</v>
      </c>
      <c r="H15" s="49" t="inlineStr">
        <is>
          <t>Signed</t>
        </is>
      </c>
      <c r="I15" s="20" t="inlineStr">
        <is>
          <t>Financing administrator</t>
        </is>
      </c>
      <c r="J15" s="20" t="inlineStr"/>
      <c r="K15" s="43">
        <f>IF(OR(G15="",E15=""),"",IF(INDEX($G$5:$G$22,E15)="","",IF(G15&lt;INDEX($G$5:$G$22,E15),"Too early","OK")))</f>
        <v/>
      </c>
    </row>
    <row r="16" ht="33" customHeight="1">
      <c r="A16" s="19" t="n">
        <v>12</v>
      </c>
      <c r="B16" s="20" t="inlineStr">
        <is>
          <t>Purchased item declaration and item specification</t>
        </is>
      </c>
      <c r="C16" s="49" t="inlineStr">
        <is>
          <t>Murabaha</t>
        </is>
      </c>
      <c r="D16" s="20" t="inlineStr">
        <is>
          <t>Purchase by the agent</t>
        </is>
      </c>
      <c r="E16" s="26" t="n">
        <v>11</v>
      </c>
      <c r="F16" s="20" t="inlineStr">
        <is>
          <t>Customer as agent</t>
        </is>
      </c>
      <c r="G16" s="54" t="n">
        <v>46316.58333333334</v>
      </c>
      <c r="H16" s="49" t="inlineStr">
        <is>
          <t>Signed</t>
        </is>
      </c>
      <c r="I16" s="20" t="inlineStr">
        <is>
          <t>RM</t>
        </is>
      </c>
      <c r="J16" s="20" t="inlineStr"/>
      <c r="K16" s="43">
        <f>IF(OR(G16="",E16=""),"",IF(INDEX($G$5:$G$22,E16)="","",IF(G16&lt;INDEX($G$5:$G$22,E16),"Too early","OK")))</f>
        <v/>
      </c>
    </row>
    <row r="17" ht="33" customHeight="1">
      <c r="A17" s="19" t="n">
        <v>13</v>
      </c>
      <c r="B17" s="20" t="inlineStr">
        <is>
          <t>Goods Receiving Note</t>
        </is>
      </c>
      <c r="C17" s="49" t="inlineStr">
        <is>
          <t>Murabaha</t>
        </is>
      </c>
      <c r="D17" s="20" t="inlineStr">
        <is>
          <t>Goods arrive and are inspected</t>
        </is>
      </c>
      <c r="E17" s="26" t="n">
        <v>12</v>
      </c>
      <c r="F17" s="20" t="inlineStr">
        <is>
          <t>Bank A</t>
        </is>
      </c>
      <c r="G17" s="54" t="n">
        <v>46316.66666666666</v>
      </c>
      <c r="H17" s="49" t="inlineStr">
        <is>
          <t>Signed</t>
        </is>
      </c>
      <c r="I17" s="20" t="inlineStr">
        <is>
          <t>Financing administrator</t>
        </is>
      </c>
      <c r="J17" s="20" t="inlineStr"/>
      <c r="K17" s="43">
        <f>IF(OR(G17="",E17=""),"",IF(INDEX($G$5:$G$22,E17)="","",IF(G17&lt;INDEX($G$5:$G$22,E17),"Too early","OK")))</f>
        <v/>
      </c>
    </row>
    <row r="18" ht="48" customHeight="1">
      <c r="A18" s="19" t="n">
        <v>14</v>
      </c>
      <c r="B18" s="20" t="inlineStr">
        <is>
          <t>Offer to purchase</t>
        </is>
      </c>
      <c r="C18" s="49" t="inlineStr">
        <is>
          <t>Murabaha</t>
        </is>
      </c>
      <c r="D18" s="20" t="inlineStr">
        <is>
          <t>Goods Receiving Note</t>
        </is>
      </c>
      <c r="E18" s="26" t="n">
        <v>13</v>
      </c>
      <c r="F18" s="20" t="inlineStr">
        <is>
          <t>Customer</t>
        </is>
      </c>
      <c r="G18" s="54" t="n">
        <v>46316.45833333334</v>
      </c>
      <c r="H18" s="49" t="inlineStr">
        <is>
          <t>Signed</t>
        </is>
      </c>
      <c r="I18" s="20" t="inlineStr">
        <is>
          <t>RM</t>
        </is>
      </c>
      <c r="J18" s="20" t="inlineStr">
        <is>
          <t>Drill: dated before the Goods Receiving Note. Re-sign after it, then a fresh acceptance and sale contract</t>
        </is>
      </c>
      <c r="K18" s="43">
        <f>IF(OR(G18="",E18=""),"",IF(INDEX($G$5:$G$22,E18)="","",IF(G18&lt;INDEX($G$5:$G$22,E18),"Too early","OK")))</f>
        <v/>
      </c>
    </row>
    <row r="19">
      <c r="A19" s="19" t="n">
        <v>15</v>
      </c>
      <c r="B19" s="20" t="inlineStr">
        <is>
          <t>Acceptance of offer</t>
        </is>
      </c>
      <c r="C19" s="49" t="inlineStr">
        <is>
          <t>Murabaha</t>
        </is>
      </c>
      <c r="D19" s="20" t="inlineStr">
        <is>
          <t>Offer to purchase</t>
        </is>
      </c>
      <c r="E19" s="26" t="n">
        <v>14</v>
      </c>
      <c r="F19" s="20" t="inlineStr">
        <is>
          <t>Bank A</t>
        </is>
      </c>
      <c r="G19" s="54" t="n">
        <v>46317.39583333334</v>
      </c>
      <c r="H19" s="49" t="inlineStr">
        <is>
          <t>Signed</t>
        </is>
      </c>
      <c r="I19" s="20" t="inlineStr">
        <is>
          <t>RM</t>
        </is>
      </c>
      <c r="J19" s="20" t="inlineStr"/>
      <c r="K19" s="43">
        <f>IF(OR(G19="",E19=""),"",IF(INDEX($G$5:$G$22,E19)="","",IF(G19&lt;INDEX($G$5:$G$22,E19),"Too early","OK")))</f>
        <v/>
      </c>
    </row>
    <row r="20">
      <c r="A20" s="19" t="n">
        <v>16</v>
      </c>
      <c r="B20" s="20" t="inlineStr">
        <is>
          <t>Sale contract and Schedule of Payment</t>
        </is>
      </c>
      <c r="C20" s="49" t="inlineStr">
        <is>
          <t>Murabaha</t>
        </is>
      </c>
      <c r="D20" s="20" t="inlineStr">
        <is>
          <t>Acceptance</t>
        </is>
      </c>
      <c r="E20" s="26" t="n">
        <v>15</v>
      </c>
      <c r="F20" s="20" t="inlineStr">
        <is>
          <t>Customer and Bank A</t>
        </is>
      </c>
      <c r="G20" s="54" t="n">
        <v>46317.41666666666</v>
      </c>
      <c r="H20" s="49" t="inlineStr">
        <is>
          <t>Signed</t>
        </is>
      </c>
      <c r="I20" s="20" t="inlineStr">
        <is>
          <t>Legal advisor</t>
        </is>
      </c>
      <c r="J20" s="20" t="inlineStr"/>
      <c r="K20" s="43">
        <f>IF(OR(G20="",E20=""),"",IF(INDEX($G$5:$G$22,E20)="","",IF(G20&lt;INDEX($G$5:$G$22,E20),"Too early","OK")))</f>
        <v/>
      </c>
    </row>
    <row r="21" ht="33" customHeight="1">
      <c r="A21" s="19" t="n">
        <v>17</v>
      </c>
      <c r="B21" s="20" t="inlineStr">
        <is>
          <t>Goods Delivery Receipt</t>
        </is>
      </c>
      <c r="C21" s="49" t="inlineStr">
        <is>
          <t>Murabaha</t>
        </is>
      </c>
      <c r="D21" s="20" t="inlineStr">
        <is>
          <t>Sale contract</t>
        </is>
      </c>
      <c r="E21" s="26" t="n">
        <v>16</v>
      </c>
      <c r="F21" s="20" t="inlineStr">
        <is>
          <t>Customer</t>
        </is>
      </c>
      <c r="G21" s="54" t="n">
        <v>46317.625</v>
      </c>
      <c r="H21" s="49" t="inlineStr">
        <is>
          <t>Signed</t>
        </is>
      </c>
      <c r="I21" s="20" t="inlineStr">
        <is>
          <t>Financing administrator</t>
        </is>
      </c>
      <c r="J21" s="20" t="inlineStr"/>
      <c r="K21" s="43">
        <f>IF(OR(G21="",E21=""),"",IF(INDEX($G$5:$G$22,E21)="","",IF(G21&lt;INDEX($G$5:$G$22,E21),"Too early","OK")))</f>
        <v/>
      </c>
    </row>
    <row r="22" ht="33" customHeight="1">
      <c r="A22" s="19" t="n">
        <v>18</v>
      </c>
      <c r="B22" s="20" t="inlineStr">
        <is>
          <t>Follow-up calendar (physical, financial, legal, system)</t>
        </is>
      </c>
      <c r="C22" s="49" t="inlineStr">
        <is>
          <t>All</t>
        </is>
      </c>
      <c r="D22" s="20" t="inlineStr">
        <is>
          <t>Disbursement</t>
        </is>
      </c>
      <c r="E22" s="26" t="n">
        <v>10</v>
      </c>
      <c r="F22" s="20" t="inlineStr">
        <is>
          <t>Relationship manager</t>
        </is>
      </c>
      <c r="G22" s="54" t="n">
        <v>46318.375</v>
      </c>
      <c r="H22" s="49" t="inlineStr">
        <is>
          <t>Not started</t>
        </is>
      </c>
      <c r="I22" s="20" t="inlineStr">
        <is>
          <t>RM</t>
        </is>
      </c>
      <c r="J22" s="20" t="inlineStr"/>
      <c r="K22" s="43">
        <f>IF(OR(G22="",E22=""),"",IF(INDEX($G$5:$G$22,E22)="","",IF(G22&lt;INDEX($G$5:$G$22,E22),"Too early","OK")))</f>
        <v/>
      </c>
    </row>
    <row r="23">
      <c r="B23" s="8" t="inlineStr">
        <is>
          <t>Documents dated too early</t>
        </is>
      </c>
      <c r="K23" s="55">
        <f>COUNTIF(K5:K22,"Too early")</f>
        <v/>
      </c>
    </row>
    <row r="24"/>
    <row r="25">
      <c r="A25" s="5" t="inlineStr">
        <is>
          <t>Other modes: documents to add to the pack</t>
        </is>
      </c>
    </row>
    <row r="26" ht="33" customHeight="1">
      <c r="A26" s="6" t="inlineStr">
        <is>
          <t>No.</t>
        </is>
      </c>
      <c r="B26" s="6" t="inlineStr">
        <is>
          <t>Document</t>
        </is>
      </c>
      <c r="C26" s="6" t="inlineStr">
        <is>
          <t>Mode</t>
        </is>
      </c>
      <c r="D26" s="6" t="inlineStr">
        <is>
          <t>Must come after (event or document)</t>
        </is>
      </c>
      <c r="E26" s="6" t="inlineStr"/>
      <c r="F26" s="6" t="inlineStr"/>
      <c r="G26" s="6" t="inlineStr"/>
      <c r="H26" s="6" t="inlineStr">
        <is>
          <t>Status</t>
        </is>
      </c>
      <c r="I26" s="6" t="inlineStr"/>
      <c r="J26" s="6" t="inlineStr"/>
      <c r="K26" s="6" t="inlineStr"/>
    </row>
    <row r="27" ht="33" customHeight="1">
      <c r="A27" s="19" t="n">
        <v>1</v>
      </c>
      <c r="B27" s="9" t="inlineStr">
        <is>
          <t>Salam contract with the full price paid at signing</t>
        </is>
      </c>
      <c r="C27" s="19" t="inlineStr">
        <is>
          <t>Salam</t>
        </is>
      </c>
      <c r="D27" s="9" t="inlineStr">
        <is>
          <t>Approval</t>
        </is>
      </c>
      <c r="H27" s="49" t="inlineStr">
        <is>
          <t>Not started</t>
        </is>
      </c>
    </row>
    <row r="28" ht="33" customHeight="1">
      <c r="A28" s="19" t="n">
        <v>2</v>
      </c>
      <c r="B28" s="9" t="inlineStr">
        <is>
          <t>Parallel Salam contract (independent of the first)</t>
        </is>
      </c>
      <c r="C28" s="19" t="inlineStr">
        <is>
          <t>Salam</t>
        </is>
      </c>
      <c r="D28" s="9" t="inlineStr">
        <is>
          <t>First Salam</t>
        </is>
      </c>
      <c r="H28" s="49" t="inlineStr">
        <is>
          <t>Not started</t>
        </is>
      </c>
    </row>
    <row r="29">
      <c r="A29" s="19" t="n">
        <v>3</v>
      </c>
      <c r="B29" s="9" t="inlineStr">
        <is>
          <t>Goods Receiving Note</t>
        </is>
      </c>
      <c r="C29" s="19" t="inlineStr">
        <is>
          <t>Salam</t>
        </is>
      </c>
      <c r="D29" s="9" t="inlineStr">
        <is>
          <t>Delivery to Bank A</t>
        </is>
      </c>
      <c r="H29" s="49" t="inlineStr">
        <is>
          <t>Not started</t>
        </is>
      </c>
    </row>
    <row r="30">
      <c r="A30" s="19" t="n">
        <v>4</v>
      </c>
      <c r="B30" s="9" t="inlineStr">
        <is>
          <t>Inspection report</t>
        </is>
      </c>
      <c r="C30" s="19" t="inlineStr">
        <is>
          <t>Salam</t>
        </is>
      </c>
      <c r="D30" s="9" t="inlineStr">
        <is>
          <t>Delivery to Bank A</t>
        </is>
      </c>
      <c r="H30" s="49" t="inlineStr">
        <is>
          <t>Not started</t>
        </is>
      </c>
    </row>
    <row r="31">
      <c r="A31" s="19" t="n">
        <v>5</v>
      </c>
      <c r="B31" s="9" t="inlineStr">
        <is>
          <t>Specification and drawings</t>
        </is>
      </c>
      <c r="C31" s="19" t="inlineStr">
        <is>
          <t>Istisna'</t>
        </is>
      </c>
      <c r="D31" s="9" t="inlineStr">
        <is>
          <t>Request</t>
        </is>
      </c>
      <c r="H31" s="49" t="inlineStr">
        <is>
          <t>Not started</t>
        </is>
      </c>
    </row>
    <row r="32">
      <c r="A32" s="19" t="n">
        <v>6</v>
      </c>
      <c r="B32" s="9" t="inlineStr">
        <is>
          <t>Istisna' contract</t>
        </is>
      </c>
      <c r="C32" s="19" t="inlineStr">
        <is>
          <t>Istisna'</t>
        </is>
      </c>
      <c r="D32" s="9" t="inlineStr">
        <is>
          <t>Approval</t>
        </is>
      </c>
      <c r="H32" s="49" t="inlineStr">
        <is>
          <t>Not started</t>
        </is>
      </c>
    </row>
    <row r="33">
      <c r="A33" s="19" t="n">
        <v>7</v>
      </c>
      <c r="B33" s="9" t="inlineStr">
        <is>
          <t>Parallel Istisna' contract</t>
        </is>
      </c>
      <c r="C33" s="19" t="inlineStr">
        <is>
          <t>Istisna'</t>
        </is>
      </c>
      <c r="D33" s="9" t="inlineStr">
        <is>
          <t>Istisna' contract</t>
        </is>
      </c>
      <c r="H33" s="49" t="inlineStr">
        <is>
          <t>Not started</t>
        </is>
      </c>
    </row>
    <row r="34">
      <c r="A34" s="19" t="n">
        <v>8</v>
      </c>
      <c r="B34" s="9" t="inlineStr">
        <is>
          <t>Progress certificates</t>
        </is>
      </c>
      <c r="C34" s="19" t="inlineStr">
        <is>
          <t>Istisna'</t>
        </is>
      </c>
      <c r="D34" s="9" t="inlineStr">
        <is>
          <t>Each certified stage</t>
        </is>
      </c>
      <c r="H34" s="49" t="inlineStr">
        <is>
          <t>Not started</t>
        </is>
      </c>
    </row>
    <row r="35">
      <c r="A35" s="19" t="n">
        <v>9</v>
      </c>
      <c r="B35" s="9" t="inlineStr">
        <is>
          <t>Delivery certificate</t>
        </is>
      </c>
      <c r="C35" s="19" t="inlineStr">
        <is>
          <t>Istisna'</t>
        </is>
      </c>
      <c r="D35" s="9" t="inlineStr">
        <is>
          <t>Completion</t>
        </is>
      </c>
      <c r="H35" s="49" t="inlineStr">
        <is>
          <t>Not started</t>
        </is>
      </c>
    </row>
    <row r="36">
      <c r="A36" s="19" t="n">
        <v>10</v>
      </c>
      <c r="B36" s="9" t="inlineStr">
        <is>
          <t>Purchase documents for the asset</t>
        </is>
      </c>
      <c r="C36" s="19" t="inlineStr">
        <is>
          <t>Ijarah</t>
        </is>
      </c>
      <c r="D36" s="9" t="inlineStr">
        <is>
          <t>Approval</t>
        </is>
      </c>
      <c r="H36" s="49" t="inlineStr">
        <is>
          <t>Not started</t>
        </is>
      </c>
    </row>
    <row r="37">
      <c r="A37" s="19" t="n">
        <v>11</v>
      </c>
      <c r="B37" s="9" t="inlineStr">
        <is>
          <t>Lease agreement</t>
        </is>
      </c>
      <c r="C37" s="19" t="inlineStr">
        <is>
          <t>Ijarah</t>
        </is>
      </c>
      <c r="D37" s="9" t="inlineStr">
        <is>
          <t>Bank A owns the asset</t>
        </is>
      </c>
      <c r="H37" s="49" t="inlineStr">
        <is>
          <t>Not started</t>
        </is>
      </c>
    </row>
    <row r="38">
      <c r="A38" s="19" t="n">
        <v>12</v>
      </c>
      <c r="B38" s="9" t="inlineStr">
        <is>
          <t>Separate promise to sell or gift</t>
        </is>
      </c>
      <c r="C38" s="19" t="inlineStr">
        <is>
          <t>Ijarah</t>
        </is>
      </c>
      <c r="D38" s="9" t="inlineStr">
        <is>
          <t>Lease agreement</t>
        </is>
      </c>
      <c r="H38" s="49" t="inlineStr">
        <is>
          <t>Not started</t>
        </is>
      </c>
    </row>
    <row r="39">
      <c r="A39" s="19" t="n">
        <v>13</v>
      </c>
      <c r="B39" s="9" t="inlineStr">
        <is>
          <t>Delivery certificate (rent starts)</t>
        </is>
      </c>
      <c r="C39" s="19" t="inlineStr">
        <is>
          <t>Ijarah</t>
        </is>
      </c>
      <c r="D39" s="9" t="inlineStr">
        <is>
          <t>Delivery</t>
        </is>
      </c>
      <c r="H39" s="49" t="inlineStr">
        <is>
          <t>Not started</t>
        </is>
      </c>
    </row>
    <row r="40">
      <c r="A40" s="19" t="n">
        <v>14</v>
      </c>
      <c r="B40" s="9" t="inlineStr">
        <is>
          <t>Takaful in Bank A's name</t>
        </is>
      </c>
      <c r="C40" s="19" t="inlineStr">
        <is>
          <t>Ijarah</t>
        </is>
      </c>
      <c r="D40" s="9" t="inlineStr">
        <is>
          <t>Bank A owns the asset</t>
        </is>
      </c>
      <c r="H40" s="49" t="inlineStr">
        <is>
          <t>Not started</t>
        </is>
      </c>
    </row>
    <row r="41">
      <c r="A41" s="19" t="n">
        <v>15</v>
      </c>
      <c r="B41" s="9" t="inlineStr">
        <is>
          <t>Partnership agreement</t>
        </is>
      </c>
      <c r="C41" s="19" t="inlineStr">
        <is>
          <t>DM</t>
        </is>
      </c>
      <c r="D41" s="9" t="inlineStr">
        <is>
          <t>Approval</t>
        </is>
      </c>
      <c r="H41" s="49" t="inlineStr">
        <is>
          <t>Not started</t>
        </is>
      </c>
    </row>
    <row r="42">
      <c r="A42" s="19" t="n">
        <v>16</v>
      </c>
      <c r="B42" s="9" t="inlineStr">
        <is>
          <t>Lease of the bank's share</t>
        </is>
      </c>
      <c r="C42" s="19" t="inlineStr">
        <is>
          <t>DM</t>
        </is>
      </c>
      <c r="D42" s="9" t="inlineStr">
        <is>
          <t>Partnership agreement</t>
        </is>
      </c>
      <c r="H42" s="49" t="inlineStr">
        <is>
          <t>Not started</t>
        </is>
      </c>
    </row>
    <row r="43">
      <c r="A43" s="19" t="n">
        <v>17</v>
      </c>
      <c r="B43" s="9" t="inlineStr">
        <is>
          <t>Promise to buy units</t>
        </is>
      </c>
      <c r="C43" s="19" t="inlineStr">
        <is>
          <t>DM</t>
        </is>
      </c>
      <c r="D43" s="9" t="inlineStr">
        <is>
          <t>Partnership agreement</t>
        </is>
      </c>
      <c r="H43" s="49" t="inlineStr">
        <is>
          <t>Not started</t>
        </is>
      </c>
    </row>
    <row r="44">
      <c r="A44" s="19" t="n">
        <v>18</v>
      </c>
      <c r="B44" s="9" t="inlineStr">
        <is>
          <t>Unit price method approved by the SAC</t>
        </is>
      </c>
      <c r="C44" s="19" t="inlineStr">
        <is>
          <t>DM</t>
        </is>
      </c>
      <c r="D44" s="9" t="inlineStr">
        <is>
          <t>Before signing</t>
        </is>
      </c>
      <c r="H44" s="49" t="inlineStr">
        <is>
          <t>Not started</t>
        </is>
      </c>
    </row>
    <row r="45"/>
    <row r="46">
      <c r="A46" s="10" t="inlineStr">
        <is>
          <t>Illustrative rates only. Use your bank's board-approved pricing; the host bank's Sharia'h Advisory Committee rulings and IFB policy take precedence.</t>
        </is>
      </c>
      <c r="B46" s="11" t="n"/>
      <c r="C46" s="11" t="n"/>
      <c r="D46" s="11" t="n"/>
      <c r="E46" s="11" t="n"/>
      <c r="F46" s="11" t="n"/>
      <c r="G46" s="11" t="n"/>
      <c r="H46" s="11" t="n"/>
      <c r="I46" s="11" t="n"/>
      <c r="J46" s="11" t="n"/>
      <c r="K46" s="11" t="n"/>
    </row>
  </sheetData>
  <mergeCells count="20">
    <mergeCell ref="D39:G39"/>
    <mergeCell ref="D30:G30"/>
    <mergeCell ref="D33:G33"/>
    <mergeCell ref="D29:G29"/>
    <mergeCell ref="D42:G42"/>
    <mergeCell ref="D38:G38"/>
    <mergeCell ref="D35:G35"/>
    <mergeCell ref="D44:G44"/>
    <mergeCell ref="A46:K46"/>
    <mergeCell ref="D34:G34"/>
    <mergeCell ref="D40:G40"/>
    <mergeCell ref="D31:G31"/>
    <mergeCell ref="D36:G36"/>
    <mergeCell ref="A2:K2"/>
    <mergeCell ref="D27:G27"/>
    <mergeCell ref="D32:G32"/>
    <mergeCell ref="D41:G41"/>
    <mergeCell ref="D43:G43"/>
    <mergeCell ref="D37:G37"/>
    <mergeCell ref="D28:G28"/>
  </mergeCells>
  <conditionalFormatting sqref="K5:K22">
    <cfRule type="cellIs" priority="1" operator="equal" dxfId="0">
      <formula>"Too early"</formula>
    </cfRule>
    <cfRule type="cellIs" priority="2" operator="equal" dxfId="1">
      <formula>"OK"</formula>
    </cfRule>
  </conditionalFormatting>
  <dataValidations count="5">
    <dataValidation sqref="C5:C22" showDropDown="0" showInputMessage="0" showErrorMessage="0" allowBlank="1" errorTitle="Invalid entry" error="Choose a value from the list." type="list">
      <formula1>=List_Mode</formula1>
    </dataValidation>
    <dataValidation sqref="H5:H22" showDropDown="0" showInputMessage="0" showErrorMessage="0" allowBlank="1" errorTitle="Invalid entry" error="Choose a value from the list." type="list">
      <formula1>=List_Status</formula1>
    </dataValidation>
    <dataValidation sqref="I5:I22" showDropDown="0" showInputMessage="0" showErrorMessage="0" allowBlank="1" errorTitle="Invalid entry" error="Choose a value from the list." type="list">
      <formula1>=List_Owner</formula1>
    </dataValidation>
    <dataValidation sqref="E5:E22" showDropDown="0" showInputMessage="0" showErrorMessage="1" allowBlank="1" errorTitle="Invalid entry" error="Enter the No. of the row this document must follow (1 to 18)." type="whole" operator="between">
      <formula1>1</formula1>
      <formula2>18</formula2>
    </dataValidation>
    <dataValidation sqref="H27:H44" showDropDown="0" showInputMessage="0" showErrorMessage="0" allowBlank="1" errorTitle="Invalid entry" error="Choose a value from the list." type="list">
      <formula1>=List_Status</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2026-10-22T15:47:57Z</dcterms:created>
  <dcterms:modified xmlns:dcterms="http://purl.org/dc/terms/" xmlns:xsi="http://www.w3.org/2001/XMLSchema-instance" xsi:type="dcterms:W3CDTF">2026-10-22T15:47:57Z</dcterms:modified>
</cp:coreProperties>
</file>