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ssumptions" sheetId="2" state="visible" r:id="rId2"/>
    <sheet xmlns:r="http://schemas.openxmlformats.org/officeDocument/2006/relationships" name="Statements" sheetId="3" state="visible" r:id="rId3"/>
    <sheet xmlns:r="http://schemas.openxmlformats.org/officeDocument/2006/relationships" name="Loan and Lease" sheetId="4" state="visible" r:id="rId4"/>
    <sheet xmlns:r="http://schemas.openxmlformats.org/officeDocument/2006/relationships" name="Lease vs Buy" sheetId="5" state="visible" r:id="rId5"/>
    <sheet xmlns:r="http://schemas.openxmlformats.org/officeDocument/2006/relationships" name="Valuation" sheetId="6" state="visible" r:id="rId6"/>
    <sheet xmlns:r="http://schemas.openxmlformats.org/officeDocument/2006/relationships" name="KPI Dashboard" sheetId="7" state="visible" r:id="rId7"/>
    <sheet xmlns:r="http://schemas.openxmlformats.org/officeDocument/2006/relationships" name="Scorecard" sheetId="8" state="visible" r:id="rId8"/>
    <sheet xmlns:r="http://schemas.openxmlformats.org/officeDocument/2006/relationships" name="Data Room" sheetId="9" state="visible" r:id="rId9"/>
    <sheet xmlns:r="http://schemas.openxmlformats.org/officeDocument/2006/relationships" name="Checks" sheetId="10" state="visible" r:id="rId10"/>
  </sheets>
  <definedNames>
    <definedName name="ScenarioSwitch">Assumptions!$C$4</definedName>
    <definedName name="TaxRate">Assumptions!$C$61</definedName>
    <definedName name="MATRate">Assumptions!$C$62</definedName>
    <definedName name="MaintCapex">Assumptions!$C$63</definedName>
    <definedName name="ExistDep">Assumptions!$C$64</definedName>
    <definedName name="LineCost">Assumptions!$C$65</definedName>
    <definedName name="LineDepRate">Assumptions!$C$66</definedName>
    <definedName name="EquityIn">Assumptions!$C$67</definedName>
    <definedName name="TermOpen">Assumptions!$C$68</definedName>
    <definedName name="TermRate">Assumptions!$C$69</definedName>
    <definedName name="TermRepay">Assumptions!$C$70</definedName>
    <definedName name="ODBal">Assumptions!$C$71</definedName>
    <definedName name="ODRate">Assumptions!$C$72</definedName>
    <definedName name="LeaseAmt">Assumptions!$C$73</definedName>
    <definedName name="LeaseRate">Assumptions!$C$74</definedName>
    <definedName name="LeaseTerm">Assumptions!$C$75</definedName>
    <definedName name="LeaseDown">Assumptions!$C$76</definedName>
    <definedName name="CovDSCR">Assumptions!$C$77</definedName>
    <definedName name="Buffer">Assumptions!$C$78</definedName>
    <definedName name="CapacityNew">Assumptions!$C$79</definedName>
    <definedName name="PracticalCap">Assumptions!$C$80</definedName>
    <definedName name="TotalCheck">Checks!$C$11</definedName>
    <definedName name="_xlnm.Print_Area" localSheetId="0">'Instructions'!$A$1:$C$44</definedName>
    <definedName name="_xlnm.Print_Area" localSheetId="1">'Assumptions'!$A$1:$F$93</definedName>
    <definedName name="_xlnm.Print_Titles" localSheetId="2">'Statements'!$4:$4</definedName>
    <definedName name="_xlnm.Print_Area" localSheetId="2">'Statements'!$A$1:$G$65</definedName>
    <definedName name="_xlnm.Print_Area" localSheetId="3">'Loan and Lease'!$A$1:$I$38</definedName>
    <definedName name="_xlnm.Print_Area" localSheetId="4">'Lease vs Buy'!$A$1:$J$46</definedName>
    <definedName name="_xlnm.Print_Area" localSheetId="5">'Valuation'!$A$1:$E$43</definedName>
    <definedName name="_xlnm.Print_Area" localSheetId="6">'KPI Dashboard'!$A$1:$R$44</definedName>
    <definedName name="_xlnm.Print_Titles" localSheetId="7">'Scorecard'!$4:$4</definedName>
    <definedName name="_xlnm.Print_Area" localSheetId="7">'Scorecard'!$A$1:$L$28</definedName>
    <definedName name="_xlnm.Print_Titles" localSheetId="8">'Data Room'!$11:$11</definedName>
    <definedName name="_xlnm.Print_Area" localSheetId="8">'Data Room'!$A$1:$I$82</definedName>
    <definedName name="_xlnm.Print_Area" localSheetId="9">'Checks'!$A$1:$G$21</definedName>
  </definedNames>
  <calcPr calcId="124519" fullCalcOnLoad="1"/>
</workbook>
</file>

<file path=xl/styles.xml><?xml version="1.0" encoding="utf-8"?>
<styleSheet xmlns="http://schemas.openxmlformats.org/spreadsheetml/2006/main">
  <numFmts count="9">
    <numFmt numFmtId="164" formatCode="yyyy-mm-dd"/>
    <numFmt numFmtId="165" formatCode="#,##0;(#,##0);0"/>
    <numFmt numFmtId="166" formatCode="0.0%"/>
    <numFmt numFmtId="167" formatCode="0.0000"/>
    <numFmt numFmtId="168" formatCode="#,##0.0"/>
    <numFmt numFmtId="169" formatCode="0.0&quot;x&quot;"/>
    <numFmt numFmtId="170" formatCode="0.00&quot;x&quot;"/>
    <numFmt numFmtId="171" formatCode="0.0"/>
    <numFmt numFmtId="172" formatCode="+0%;-0%;0%"/>
  </numFmts>
  <fonts count="15">
    <font>
      <name val="Calibri"/>
      <family val="2"/>
      <color theme="1"/>
      <sz val="11"/>
      <scheme val="minor"/>
    </font>
    <font>
      <name val="Calibri"/>
      <b val="1"/>
      <color rgb="000F4C3A"/>
      <sz val="16"/>
    </font>
    <font>
      <name val="Calibri"/>
      <b val="1"/>
      <color rgb="000F4C3A"/>
      <sz val="11"/>
    </font>
    <font>
      <name val="Calibri"/>
      <b val="1"/>
      <color rgb="000F4C3A"/>
      <sz val="12"/>
    </font>
    <font>
      <name val="Calibri"/>
      <b val="1"/>
      <sz val="11"/>
    </font>
    <font>
      <name val="Calibri"/>
      <sz val="11"/>
    </font>
    <font>
      <name val="Calibri"/>
      <b val="1"/>
      <color rgb="00FFFFFF"/>
      <sz val="11"/>
    </font>
    <font>
      <name val="Calibri"/>
      <i val="1"/>
      <color rgb="000F4C3A"/>
      <sz val="10"/>
    </font>
    <font>
      <name val="Calibri"/>
      <i val="1"/>
      <color rgb="00555555"/>
      <sz val="11"/>
    </font>
    <font>
      <name val="Calibri"/>
      <b val="1"/>
      <sz val="12"/>
    </font>
    <font>
      <name val="Calibri"/>
      <color rgb="001F1F1F"/>
      <sz val="11"/>
    </font>
    <font>
      <name val="Calibri"/>
      <i val="1"/>
      <color rgb="00555555"/>
      <sz val="10"/>
    </font>
    <font>
      <name val="Calibri"/>
      <color rgb="00808080"/>
      <sz val="8"/>
    </font>
    <font>
      <name val="Calibri"/>
      <sz val="9"/>
    </font>
    <font>
      <name val="Calibri"/>
      <color rgb="001F1F1F"/>
      <sz val="10"/>
    </font>
  </fonts>
  <fills count="5">
    <fill>
      <patternFill/>
    </fill>
    <fill>
      <patternFill patternType="gray125"/>
    </fill>
    <fill>
      <patternFill patternType="solid">
        <fgColor rgb="00FFF2CC"/>
      </patternFill>
    </fill>
    <fill>
      <patternFill patternType="solid">
        <fgColor rgb="000F4C3A"/>
      </patternFill>
    </fill>
    <fill>
      <patternFill patternType="solid">
        <fgColor rgb="00F4F1E6"/>
      </patternFill>
    </fill>
  </fills>
  <borders count="10">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style="thin">
        <color rgb="00BFBFBF"/>
      </left>
      <right style="thin">
        <color rgb="00BFBFBF"/>
      </right>
      <top style="thin">
        <color rgb="00BFBFBF"/>
      </top>
      <bottom style="medium">
        <color rgb="00D4A72C"/>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border>
      <left style="medium">
        <color rgb="00D4A72C"/>
      </left>
      <right style="medium">
        <color rgb="00D4A72C"/>
      </right>
      <top style="medium">
        <color rgb="00D4A72C"/>
      </top>
      <bottom style="medium">
        <color rgb="00D4A72C"/>
      </bottom>
    </border>
  </borders>
  <cellStyleXfs count="1">
    <xf numFmtId="0" fontId="0" fillId="0" borderId="0"/>
  </cellStyleXfs>
  <cellXfs count="69">
    <xf numFmtId="0" fontId="0" fillId="0" borderId="0" pivotButton="0" quotePrefix="0" xfId="0"/>
    <xf numFmtId="0" fontId="1" fillId="0" borderId="1" applyAlignment="1" pivotButton="0" quotePrefix="0" xfId="0">
      <alignment vertical="center"/>
    </xf>
    <xf numFmtId="0" fontId="0" fillId="0" borderId="1" pivotButton="0" quotePrefix="0" xfId="0"/>
    <xf numFmtId="0" fontId="2" fillId="0" borderId="0" applyAlignment="1" pivotButton="0" quotePrefix="0" xfId="0">
      <alignment vertical="top" wrapText="1"/>
    </xf>
    <xf numFmtId="0" fontId="3" fillId="0" borderId="0" pivotButton="0" quotePrefix="0" xfId="0"/>
    <xf numFmtId="0" fontId="4" fillId="0" borderId="2" applyAlignment="1" pivotButton="0" quotePrefix="0" xfId="0">
      <alignment vertical="top" wrapText="1"/>
    </xf>
    <xf numFmtId="0" fontId="5" fillId="2" borderId="2" applyAlignment="1" applyProtection="1" pivotButton="0" quotePrefix="0" xfId="0">
      <alignment horizontal="left" vertical="top" wrapText="1"/>
      <protection locked="0" hidden="0"/>
    </xf>
    <xf numFmtId="164" fontId="5" fillId="2" borderId="2" applyAlignment="1" applyProtection="1" pivotButton="0" quotePrefix="0" xfId="0">
      <alignment horizontal="left" vertical="top" wrapText="1"/>
      <protection locked="0" hidden="0"/>
    </xf>
    <xf numFmtId="0" fontId="4" fillId="0" borderId="2" applyAlignment="1" pivotButton="0" quotePrefix="0" xfId="0">
      <alignment horizontal="left" vertical="top" wrapText="1"/>
    </xf>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6" fillId="3" borderId="2" applyAlignment="1" pivotButton="0" quotePrefix="0" xfId="0">
      <alignment horizontal="center" vertical="center" wrapText="1"/>
    </xf>
    <xf numFmtId="0" fontId="0" fillId="0" borderId="2" pivotButton="0" quotePrefix="0" xfId="0"/>
    <xf numFmtId="0" fontId="5" fillId="0" borderId="2" applyAlignment="1" pivotButton="0" quotePrefix="0" xfId="0">
      <alignment vertical="top" wrapText="1"/>
    </xf>
    <xf numFmtId="0" fontId="7" fillId="0" borderId="3" applyAlignment="1" pivotButton="0" quotePrefix="0" xfId="0">
      <alignment horizontal="center" vertical="center"/>
    </xf>
    <xf numFmtId="0" fontId="0" fillId="0" borderId="3" pivotButton="0" quotePrefix="0" xfId="0"/>
    <xf numFmtId="0" fontId="8" fillId="0" borderId="0" applyAlignment="1" pivotButton="0" quotePrefix="0" xfId="0">
      <alignment vertical="top"/>
    </xf>
    <xf numFmtId="1" fontId="9" fillId="2" borderId="2" applyAlignment="1" applyProtection="1" pivotButton="0" quotePrefix="0" xfId="0">
      <alignment horizontal="center" vertical="top"/>
      <protection locked="0" hidden="0"/>
    </xf>
    <xf numFmtId="0" fontId="4" fillId="0" borderId="2" applyAlignment="1" pivotButton="0" quotePrefix="0" xfId="0">
      <alignment vertical="top"/>
    </xf>
    <xf numFmtId="165" fontId="5" fillId="2" borderId="2" applyAlignment="1" applyProtection="1" pivotButton="0" quotePrefix="0" xfId="0">
      <alignment vertical="top"/>
      <protection locked="0" hidden="0"/>
    </xf>
    <xf numFmtId="165" fontId="4" fillId="0" borderId="2" applyAlignment="1" pivotButton="0" quotePrefix="0" xfId="0">
      <alignment vertical="top"/>
    </xf>
    <xf numFmtId="3" fontId="5" fillId="2" borderId="2" applyAlignment="1" applyProtection="1" pivotButton="0" quotePrefix="0" xfId="0">
      <alignment vertical="top"/>
      <protection locked="0" hidden="0"/>
    </xf>
    <xf numFmtId="166" fontId="5" fillId="2" borderId="2" applyAlignment="1" applyProtection="1" pivotButton="0" quotePrefix="0" xfId="0">
      <alignment vertical="top"/>
      <protection locked="0" hidden="0"/>
    </xf>
    <xf numFmtId="166" fontId="4" fillId="0" borderId="4" applyAlignment="1" pivotButton="0" quotePrefix="0" xfId="0">
      <alignment vertical="top"/>
    </xf>
    <xf numFmtId="0" fontId="5" fillId="2" borderId="2" applyAlignment="1" applyProtection="1" pivotButton="0" quotePrefix="0" xfId="0">
      <alignment vertical="top" wrapText="1"/>
      <protection locked="0" hidden="0"/>
    </xf>
    <xf numFmtId="165" fontId="10" fillId="0" borderId="2" applyAlignment="1" pivotButton="0" quotePrefix="0" xfId="0">
      <alignment vertical="top"/>
    </xf>
    <xf numFmtId="1" fontId="5" fillId="2" borderId="2" applyAlignment="1" applyProtection="1" pivotButton="0" quotePrefix="0" xfId="0">
      <alignment vertical="top"/>
      <protection locked="0" hidden="0"/>
    </xf>
    <xf numFmtId="2" fontId="5" fillId="2" borderId="2" applyAlignment="1" applyProtection="1" pivotButton="0" quotePrefix="0" xfId="0">
      <alignment vertical="top"/>
      <protection locked="0" hidden="0"/>
    </xf>
    <xf numFmtId="9" fontId="5" fillId="2" borderId="2" applyAlignment="1" applyProtection="1" pivotButton="0" quotePrefix="0" xfId="0">
      <alignment vertical="top"/>
      <protection locked="0" hidden="0"/>
    </xf>
    <xf numFmtId="3" fontId="10" fillId="0" borderId="2" applyAlignment="1" pivotButton="0" quotePrefix="0" xfId="0">
      <alignment vertical="top"/>
    </xf>
    <xf numFmtId="166" fontId="10" fillId="0" borderId="2" applyAlignment="1" pivotButton="0" quotePrefix="0" xfId="0">
      <alignment vertical="top"/>
    </xf>
    <xf numFmtId="0" fontId="8" fillId="0" borderId="8" applyAlignment="1" pivotButton="0" quotePrefix="0" xfId="0">
      <alignment vertical="top"/>
    </xf>
    <xf numFmtId="0" fontId="12" fillId="0" borderId="8" applyAlignment="1" pivotButton="0" quotePrefix="0" xfId="0">
      <alignment vertical="top" wrapText="1"/>
    </xf>
    <xf numFmtId="0" fontId="12" fillId="0" borderId="0" applyAlignment="1" pivotButton="0" quotePrefix="0" xfId="0">
      <alignment horizontal="right"/>
    </xf>
    <xf numFmtId="0" fontId="10" fillId="0" borderId="2" applyAlignment="1" pivotButton="0" quotePrefix="0" xfId="0">
      <alignment horizontal="center"/>
    </xf>
    <xf numFmtId="0" fontId="11" fillId="0" borderId="0" applyAlignment="1" pivotButton="0" quotePrefix="0" xfId="0">
      <alignment vertical="top" wrapText="1"/>
    </xf>
    <xf numFmtId="2" fontId="4" fillId="0" borderId="2" applyAlignment="1" pivotButton="0" quotePrefix="0" xfId="0">
      <alignment vertical="top"/>
    </xf>
    <xf numFmtId="2" fontId="10" fillId="0" borderId="2" applyAlignment="1" pivotButton="0" quotePrefix="0" xfId="0">
      <alignment vertical="top"/>
    </xf>
    <xf numFmtId="164" fontId="5" fillId="2" borderId="2" applyAlignment="1" applyProtection="1" pivotButton="0" quotePrefix="0" xfId="0">
      <alignment vertical="top"/>
      <protection locked="0" hidden="0"/>
    </xf>
    <xf numFmtId="1" fontId="10" fillId="0" borderId="2" applyAlignment="1" pivotButton="0" quotePrefix="0" xfId="0">
      <alignment horizontal="center"/>
    </xf>
    <xf numFmtId="0" fontId="5" fillId="2" borderId="2" applyAlignment="1" applyProtection="1" pivotButton="0" quotePrefix="0" xfId="0">
      <alignment vertical="top"/>
      <protection locked="0" hidden="0"/>
    </xf>
    <xf numFmtId="0" fontId="0" fillId="0" borderId="7" applyProtection="1" pivotButton="0" quotePrefix="0" xfId="0">
      <protection locked="0" hidden="0"/>
    </xf>
    <xf numFmtId="0" fontId="0" fillId="3" borderId="0" pivotButton="0" quotePrefix="0" xfId="0"/>
    <xf numFmtId="167" fontId="10" fillId="0" borderId="2" applyAlignment="1" pivotButton="0" quotePrefix="0" xfId="0">
      <alignment vertical="top"/>
    </xf>
    <xf numFmtId="168" fontId="10" fillId="0" borderId="2" applyAlignment="1" pivotButton="0" quotePrefix="0" xfId="0">
      <alignment vertical="top"/>
    </xf>
    <xf numFmtId="166" fontId="4" fillId="0" borderId="2" applyAlignment="1" pivotButton="0" quotePrefix="0" xfId="0">
      <alignment vertical="top"/>
    </xf>
    <xf numFmtId="169" fontId="5" fillId="2" borderId="2" applyAlignment="1" applyProtection="1" pivotButton="0" quotePrefix="0" xfId="0">
      <alignment vertical="top"/>
      <protection locked="0" hidden="0"/>
    </xf>
    <xf numFmtId="170" fontId="4" fillId="0" borderId="2" applyAlignment="1" pivotButton="0" quotePrefix="0" xfId="0">
      <alignment vertical="top"/>
    </xf>
    <xf numFmtId="169" fontId="4" fillId="0" borderId="2" applyAlignment="1" pivotButton="0" quotePrefix="0" xfId="0">
      <alignment vertical="top"/>
    </xf>
    <xf numFmtId="0" fontId="4" fillId="0" borderId="2" applyAlignment="1" pivotButton="0" quotePrefix="0" xfId="0">
      <alignment horizontal="center"/>
    </xf>
    <xf numFmtId="166" fontId="10" fillId="0" borderId="2" applyAlignment="1" pivotButton="0" quotePrefix="0" xfId="0">
      <alignment horizontal="right" vertical="top"/>
    </xf>
    <xf numFmtId="0" fontId="13" fillId="0" borderId="2" applyAlignment="1" pivotButton="0" quotePrefix="0" xfId="0">
      <alignment vertical="top" wrapText="1"/>
    </xf>
    <xf numFmtId="0" fontId="10" fillId="0" borderId="2" applyAlignment="1" pivotButton="0" quotePrefix="0" xfId="0">
      <alignment horizontal="center" vertical="top"/>
    </xf>
    <xf numFmtId="171" fontId="10" fillId="0" borderId="2" applyAlignment="1" pivotButton="0" quotePrefix="0" xfId="0">
      <alignment horizontal="right" vertical="top"/>
    </xf>
    <xf numFmtId="171" fontId="10" fillId="0" borderId="2" applyAlignment="1" pivotButton="0" quotePrefix="0" xfId="0">
      <alignment vertical="top"/>
    </xf>
    <xf numFmtId="2" fontId="10" fillId="0" borderId="2" applyAlignment="1" pivotButton="0" quotePrefix="0" xfId="0">
      <alignment horizontal="right" vertical="top"/>
    </xf>
    <xf numFmtId="165" fontId="10" fillId="0" borderId="2" applyAlignment="1" pivotButton="0" quotePrefix="0" xfId="0">
      <alignment horizontal="right" vertical="top"/>
    </xf>
    <xf numFmtId="3" fontId="10" fillId="0" borderId="2" applyAlignment="1" pivotButton="0" quotePrefix="0" xfId="0">
      <alignment horizontal="right" vertical="top"/>
    </xf>
    <xf numFmtId="0" fontId="11" fillId="0" borderId="2" applyAlignment="1" pivotButton="0" quotePrefix="0" xfId="0">
      <alignment vertical="top" wrapText="1"/>
    </xf>
    <xf numFmtId="9" fontId="5" fillId="2" borderId="2" applyAlignment="1" applyProtection="1" pivotButton="0" quotePrefix="0" xfId="0">
      <alignment horizontal="center"/>
      <protection locked="0" hidden="0"/>
    </xf>
    <xf numFmtId="172" fontId="5" fillId="2" borderId="2" applyAlignment="1" applyProtection="1" pivotButton="0" quotePrefix="0" xfId="0">
      <alignment horizontal="center"/>
      <protection locked="0" hidden="0"/>
    </xf>
    <xf numFmtId="2" fontId="10" fillId="0" borderId="2" applyAlignment="1" pivotButton="0" quotePrefix="0" xfId="0">
      <alignment horizontal="center"/>
    </xf>
    <xf numFmtId="171" fontId="5" fillId="2" borderId="2" applyAlignment="1" applyProtection="1" pivotButton="0" quotePrefix="0" xfId="0">
      <alignment vertical="top"/>
      <protection locked="0" hidden="0"/>
    </xf>
    <xf numFmtId="0" fontId="14" fillId="4" borderId="9" applyAlignment="1" pivotButton="0" quotePrefix="0" xfId="0">
      <alignment vertical="top" wrapText="1"/>
    </xf>
    <xf numFmtId="0" fontId="0" fillId="4" borderId="9" pivotButton="0" quotePrefix="0" xfId="0"/>
    <xf numFmtId="1" fontId="10" fillId="0" borderId="2" applyAlignment="1" pivotButton="0" quotePrefix="0" xfId="0">
      <alignment horizontal="left"/>
    </xf>
    <xf numFmtId="1" fontId="4" fillId="0" borderId="2" applyAlignment="1" pivotButton="0" quotePrefix="0" xfId="0">
      <alignment horizontal="left"/>
    </xf>
    <xf numFmtId="166" fontId="4" fillId="0" borderId="2" applyAlignment="1" pivotButton="0" quotePrefix="0" xfId="0">
      <alignment horizontal="left"/>
    </xf>
    <xf numFmtId="1" fontId="10" fillId="0" borderId="2" applyAlignment="1" pivotButton="0" quotePrefix="0" xfId="0">
      <alignment horizontal="center" vertical="top"/>
    </xf>
  </cellXfs>
  <cellStyles count="1">
    <cellStyle name="Normal" xfId="0" builtinId="0" hidden="0"/>
  </cellStyles>
  <dxfs count="6">
    <dxf>
      <font>
        <b val="1"/>
        <color rgb="00006100"/>
      </font>
      <fill>
        <patternFill patternType="solid">
          <fgColor rgb="00C6EFCE"/>
          <bgColor rgb="00C6EFCE"/>
        </patternFill>
      </fill>
    </dxf>
    <dxf>
      <font>
        <b val="1"/>
        <color rgb="009C0006"/>
      </font>
      <fill>
        <patternFill patternType="solid">
          <fgColor rgb="00FFC7CE"/>
          <bgColor rgb="00FFC7CE"/>
        </patternFill>
      </fill>
    </dxf>
    <dxf>
      <fill>
        <patternFill patternType="solid">
          <fgColor rgb="00C6EFCE"/>
          <bgColor rgb="00C6EFCE"/>
        </patternFill>
      </fill>
    </dxf>
    <dxf>
      <fill>
        <patternFill patternType="solid">
          <fgColor rgb="00FFEB9C"/>
          <bgColor rgb="00FFEB9C"/>
        </patternFill>
      </fill>
    </dxf>
    <dxf>
      <fill>
        <patternFill patternType="solid">
          <fgColor rgb="00FFC7CE"/>
          <bgColor rgb="00FFC7CE"/>
        </patternFill>
      </fill>
    </dxf>
    <dxf>
      <font>
        <b val="1"/>
        <color rgb="009C5700"/>
      </font>
      <fill>
        <patternFill patternType="solid">
          <fgColor rgb="00FFEB9C"/>
          <b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Revenue and EBITDA (Birr thousand)</a:t>
            </a:r>
          </a:p>
        </rich>
      </tx>
    </title>
    <plotArea>
      <barChart>
        <barDir val="col"/>
        <grouping val="clustered"/>
        <ser>
          <idx val="0"/>
          <order val="0"/>
          <tx>
            <v>Revenue</v>
          </tx>
          <spPr>
            <a:solidFill xmlns:a="http://schemas.openxmlformats.org/drawingml/2006/main">
              <a:srgbClr val="0F4C3A"/>
            </a:solidFill>
            <a:ln xmlns:a="http://schemas.openxmlformats.org/drawingml/2006/main">
              <a:prstDash val="solid"/>
            </a:ln>
          </spPr>
          <cat>
            <numRef>
              <f>'Statements'!$C$4:$F$4</f>
            </numRef>
          </cat>
          <val>
            <numRef>
              <f>'Statements'!$C$6:$F$6</f>
            </numRef>
          </val>
        </ser>
        <ser>
          <idx val="1"/>
          <order val="1"/>
          <tx>
            <v>EBITDA</v>
          </tx>
          <spPr>
            <a:solidFill xmlns:a="http://schemas.openxmlformats.org/drawingml/2006/main">
              <a:srgbClr val="D4A72C"/>
            </a:solidFill>
            <a:ln xmlns:a="http://schemas.openxmlformats.org/drawingml/2006/main">
              <a:prstDash val="solid"/>
            </a:ln>
          </spPr>
          <cat>
            <numRef>
              <f>'Statements'!$C$4:$F$4</f>
            </numRef>
          </cat>
          <val>
            <numRef>
              <f>'Statements'!$C$11:$F$11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DSCR by year and the 1.25 covenant</a:t>
            </a:r>
          </a:p>
        </rich>
      </tx>
    </title>
    <plotArea>
      <lineChart>
        <grouping val="standard"/>
        <ser>
          <idx val="0"/>
          <order val="0"/>
          <tx>
            <v>DSCR</v>
          </tx>
          <spPr>
            <a:ln xmlns:a="http://schemas.openxmlformats.org/drawingml/2006/main" w="24000">
              <a:solidFill>
                <a:srgbClr val="0F4C3A"/>
              </a:solidFill>
              <a:prstDash val="solid"/>
            </a:ln>
          </spPr>
          <marker>
            <symbol val="none"/>
            <spPr>
              <a:ln xmlns:a="http://schemas.openxmlformats.org/drawingml/2006/main">
                <a:prstDash val="solid"/>
              </a:ln>
            </spPr>
          </marker>
          <cat>
            <numRef>
              <f>'Statements'!$C$4:$F$4</f>
            </numRef>
          </cat>
          <val>
            <numRef>
              <f>'KPI Dashboard'!$C$17:$F$17</f>
            </numRef>
          </val>
          <smooth val="0"/>
        </ser>
        <ser>
          <idx val="1"/>
          <order val="1"/>
          <tx>
            <v>Covenant minimum</v>
          </tx>
          <spPr>
            <a:ln xmlns:a="http://schemas.openxmlformats.org/drawingml/2006/main" w="24000">
              <a:solidFill>
                <a:srgbClr val="C0504D"/>
              </a:solidFill>
              <a:prstDash val="solid"/>
            </a:ln>
          </spPr>
          <marker>
            <symbol val="none"/>
            <spPr>
              <a:ln xmlns:a="http://schemas.openxmlformats.org/drawingml/2006/main">
                <a:prstDash val="solid"/>
              </a:ln>
            </spPr>
          </marker>
          <cat>
            <numRef>
              <f>'Statements'!$C$4:$F$4</f>
            </numRef>
          </cat>
          <val>
            <numRef>
              <f>'KPI Dashboard'!$C$21:$F$21</f>
            </numRef>
          </val>
          <smooth val="0"/>
        </ser>
        <axId val="10"/>
        <axId val="100"/>
      </lineChart>
      <catAx>
        <axId val="10"/>
        <scaling>
          <orientation val="minMax"/>
        </scaling>
        <axPos val="l"/>
        <majorTickMark val="none"/>
        <minorTickMark val="none"/>
        <crossAx val="100"/>
        <lblOffset val="100"/>
      </catAx>
      <valAx>
        <axId val="100"/>
        <scaling>
          <orientation val="minMax"/>
        </scaling>
        <axPos val="l"/>
        <majorGridlines/>
        <numFmt formatCode="0.0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10</col>
      <colOff>0</colOff>
      <row>3</row>
      <rowOff>0</rowOff>
    </from>
    <ext cx="5220000" cy="302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22</row>
      <rowOff>0</rowOff>
    </from>
    <ext cx="5220000" cy="302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F4C3A"/>
    <outlinePr summaryBelow="1" summaryRight="1"/>
    <pageSetUpPr fitToPage="1"/>
  </sheetPr>
  <dimension ref="A1:C44"/>
  <sheetViews>
    <sheetView showGridLines="0" workbookViewId="0">
      <selection activeCell="A1" sqref="A1"/>
    </sheetView>
  </sheetViews>
  <sheetFormatPr baseColWidth="8" defaultRowHeight="15"/>
  <cols>
    <col width="5" customWidth="1" min="1" max="1"/>
    <col width="30" customWidth="1" min="2" max="2"/>
    <col width="100" customWidth="1" min="3" max="3"/>
  </cols>
  <sheetData>
    <row r="1" ht="26" customHeight="1">
      <c r="A1" s="1" t="inlineStr">
        <is>
          <t>SME financial model and investor package</t>
        </is>
      </c>
      <c r="B1" s="2" t="n"/>
      <c r="C1" s="2" t="n"/>
    </row>
    <row r="2" ht="33" customHeight="1">
      <c r="A2" s="3" t="inlineStr">
        <is>
          <t>Course: Financial Management for SMEs: Strategic Financial Management (sme-l3, Level 3, Executive Certificate). Capstone project: "A complete financial management system and investor-ready financial package for an SME".</t>
        </is>
      </c>
    </row>
    <row r="3">
      <c r="B3" s="4" t="inlineStr">
        <is>
          <t>Cover</t>
        </is>
      </c>
    </row>
    <row r="4">
      <c r="B4" s="5" t="inlineStr">
        <is>
          <t>Company name</t>
        </is>
      </c>
      <c r="C4" s="6" t="inlineStr">
        <is>
          <t>Adama Pack Industries PLC</t>
        </is>
      </c>
    </row>
    <row r="5">
      <c r="B5" s="5" t="inlineStr">
        <is>
          <t>Model version</t>
        </is>
      </c>
      <c r="C5" s="6" t="inlineStr">
        <is>
          <t>v3</t>
        </is>
      </c>
    </row>
    <row r="6">
      <c r="B6" s="5" t="inlineStr">
        <is>
          <t>Date</t>
        </is>
      </c>
      <c r="C6" s="7" t="n">
        <v>46310</v>
      </c>
    </row>
    <row r="7">
      <c r="B7" s="5" t="inlineStr">
        <is>
          <t>Prepared by</t>
        </is>
      </c>
      <c r="C7" s="6" t="inlineStr">
        <is>
          <t>Wro. Selamawit Girma, finance manager</t>
        </is>
      </c>
    </row>
    <row r="8">
      <c r="B8" s="5" t="inlineStr">
        <is>
          <t>Units</t>
        </is>
      </c>
      <c r="C8" s="6" t="inlineStr">
        <is>
          <t>Birr thousand</t>
        </is>
      </c>
    </row>
    <row r="9">
      <c r="B9" s="5" t="inlineStr">
        <is>
          <t>Overall check</t>
        </is>
      </c>
      <c r="C9" s="8">
        <f>IF(TotalCheck=0,"All checks OK","Fix checks before sending")</f>
        <v/>
      </c>
    </row>
    <row r="10"/>
    <row r="11">
      <c r="A11" s="4" t="inlineStr">
        <is>
          <t>Purpose</t>
        </is>
      </c>
    </row>
    <row r="12" ht="63" customHeight="1">
      <c r="A12" s="9" t="inlineStr">
        <is>
          <t>A three-year financial model with a base, downside and upside scenario switch: linked income statement, balance sheet and cash flow with checks, loan and lease schedules, lease versus buy, valuation summary, KPI dashboard, balanced scorecard and an investor data room checklist. It is prefilled with the course's running case, Adama Pack Industries PLC (corrugated cartons, Adama): Year 0 = FY2025/26 actual, Years 1 to 3 = FY2026/27 to FY2028/29, a second Birr 30,000 thousand corrugator line financed by a Birr 24,000 thousand hire purchase and Birr 20,000 thousand of new equity.</t>
        </is>
      </c>
    </row>
    <row r="13"/>
    <row r="14">
      <c r="A14" s="4" t="inlineStr">
        <is>
          <t>How to use this workbook</t>
        </is>
      </c>
    </row>
    <row r="15" ht="33" customHeight="1">
      <c r="A15" s="10" t="inlineStr">
        <is>
          <t>1.</t>
        </is>
      </c>
      <c r="B15" s="9" t="inlineStr">
        <is>
          <t>Enter the Year 0 actuals and the drivers for Years 1 to 3 on Assumptions, with the source and owner of each fixed input. All amounts are Birr thousand unless the label says Birr.</t>
        </is>
      </c>
    </row>
    <row r="16">
      <c r="A16" s="10" t="inlineStr">
        <is>
          <t>2.</t>
        </is>
      </c>
      <c r="B16" s="9" t="inlineStr">
        <is>
          <t>Choose the scenario in Assumptions!C4 (1 Base, 2 Downside, 3 Upside). Every statement, schedule, KPI and check follows the switch.</t>
        </is>
      </c>
    </row>
    <row r="17">
      <c r="A17" s="10" t="inlineStr">
        <is>
          <t>3.</t>
        </is>
      </c>
      <c r="B17" s="9" t="inlineStr">
        <is>
          <t>Check that Checks!TotalCheck (and the overall check above) shows 0 in all three scenarios before you send the package.</t>
        </is>
      </c>
    </row>
    <row r="18" ht="33" customHeight="1">
      <c r="A18" s="10" t="inlineStr">
        <is>
          <t>4.</t>
        </is>
      </c>
      <c r="B18" s="9" t="inlineStr">
        <is>
          <t>After each scenario run, copy the Live column of the scenario summary on Statements and paste it as values into the Base, Downside or Upside column, with the date stored.</t>
        </is>
      </c>
    </row>
    <row r="19" ht="33" customHeight="1">
      <c r="A19" s="10" t="inlineStr">
        <is>
          <t>5.</t>
        </is>
      </c>
      <c r="B19" s="9" t="inlineStr">
        <is>
          <t>Use the Loan and Lease sheet for the financing pattern in the signed agreements (equal principal or annuity, optional grace years), and Lease vs Buy to compare the financing options.</t>
        </is>
      </c>
    </row>
    <row r="20">
      <c r="A20" s="10" t="inlineStr">
        <is>
          <t>6.</t>
        </is>
      </c>
      <c r="B20" s="9" t="inlineStr">
        <is>
          <t>Complete the Valuation, Scorecard and Data Room sheets for the investor and bank meetings; write the three-line commentary on the KPI Dashboard.</t>
        </is>
      </c>
    </row>
    <row r="21"/>
    <row r="22">
      <c r="A22" s="4" t="inlineStr">
        <is>
          <t>Sheet guide</t>
        </is>
      </c>
    </row>
    <row r="23" ht="20" customHeight="1">
      <c r="A23" s="11" t="inlineStr"/>
      <c r="B23" s="11" t="inlineStr">
        <is>
          <t>Sheet</t>
        </is>
      </c>
      <c r="C23" s="11" t="inlineStr">
        <is>
          <t>How to use it</t>
        </is>
      </c>
    </row>
    <row r="24" ht="48" customHeight="1">
      <c r="A24" s="12" t="n"/>
      <c r="B24" s="5" t="inlineStr">
        <is>
          <t>Assumptions</t>
        </is>
      </c>
      <c r="C24" s="13" t="inlineStr">
        <is>
          <t>Scenario switch (named ScenarioSwitch), Year 0 actuals, base, downside and upside drivers with an Active row, fixed inputs with source and owner (named ranges such as TaxRate, MATRate, LineCost, LeaseAmt, CovDSCR) and the revenue build memo.</t>
        </is>
      </c>
    </row>
    <row r="25" ht="33" customHeight="1">
      <c r="A25" s="12" t="n"/>
      <c r="B25" s="5" t="inlineStr">
        <is>
          <t>Statements</t>
        </is>
      </c>
      <c r="C25" s="13" t="inlineStr">
        <is>
          <t>Income statement, balance sheet and cash flow for Years 0 to 3, with the balance check and the scenario summary table.</t>
        </is>
      </c>
    </row>
    <row r="26" ht="33" customHeight="1">
      <c r="A26" s="12" t="n"/>
      <c r="B26" s="5" t="inlineStr">
        <is>
          <t>Loan and Lease</t>
        </is>
      </c>
      <c r="C26" s="13" t="inlineStr">
        <is>
          <t>Term loan, overdraft and lease schedules, the lease repayment type and grace inputs, debt service and the current portion of debt.</t>
        </is>
      </c>
    </row>
    <row r="27">
      <c r="A27" s="12" t="n"/>
      <c r="B27" s="5" t="inlineStr">
        <is>
          <t>Lease vs Buy</t>
        </is>
      </c>
      <c r="C27" s="13" t="inlineStr">
        <is>
          <t>After-tax present value of a Bank A loan against the lease, and the decision.</t>
        </is>
      </c>
    </row>
    <row r="28" ht="33" customHeight="1">
      <c r="A28" s="12" t="n"/>
      <c r="B28" s="5" t="inlineStr">
        <is>
          <t>Valuation</t>
        </is>
      </c>
      <c r="C28" s="13" t="inlineStr">
        <is>
          <t>Normalized EBITDA, EV/EBITDA range, net debt, the Meridian Impact Fund deal and implied multiples, and a quick check for offers quoted post-money.</t>
        </is>
      </c>
    </row>
    <row r="29" ht="33" customHeight="1">
      <c r="A29" s="12" t="n"/>
      <c r="B29" s="5" t="inlineStr">
        <is>
          <t>KPI Dashboard</t>
        </is>
      </c>
      <c r="C29" s="13" t="inlineStr">
        <is>
          <t>One printable page: KPIs by year with targets and traffic lights, covenant headroom, the DSCR sensitivity grid, commentary and two charts.</t>
        </is>
      </c>
    </row>
    <row r="30">
      <c r="A30" s="12" t="n"/>
      <c r="B30" s="5" t="inlineStr">
        <is>
          <t>Scorecard</t>
        </is>
      </c>
      <c r="C30" s="13" t="inlineStr">
        <is>
          <t>Balanced scorecard with targets, tolerances, actuals and status.</t>
        </is>
      </c>
    </row>
    <row r="31">
      <c r="A31" s="12" t="n"/>
      <c r="B31" s="5" t="inlineStr">
        <is>
          <t>Data Room</t>
        </is>
      </c>
      <c r="C31" s="13" t="inlineStr">
        <is>
          <t>Investor and bank document checklist with status counts and % ready.</t>
        </is>
      </c>
    </row>
    <row r="32">
      <c r="A32" s="12" t="n"/>
      <c r="B32" s="5" t="inlineStr">
        <is>
          <t>Checks</t>
        </is>
      </c>
      <c r="C32" s="13" t="inlineStr">
        <is>
          <t>Balance, cash, debt, sources and uses and revenue build checks; TotalCheck must be 0.</t>
        </is>
      </c>
    </row>
    <row r="33"/>
    <row r="34">
      <c r="A34" s="4" t="inlineStr">
        <is>
          <t>Model notes</t>
        </is>
      </c>
    </row>
    <row r="35" ht="33" customHeight="1">
      <c r="A35" s="9" t="inlineStr">
        <is>
          <t>Tax is assumed paid within the year through quarterly advance payments; MAT credit carry-forward is not modeled (conservative). Confirm tax treatment with a tax adviser.</t>
        </is>
      </c>
    </row>
    <row r="36" ht="33" customHeight="1">
      <c r="A36" s="9" t="inlineStr">
        <is>
          <t>Profit is assumed capitalized by shareholder resolution within 12 months (no undistributed profit tax, no dividend). Every statement line uses ROUND(...,0) so the statements reconcile exactly in whole Birr thousand.</t>
        </is>
      </c>
    </row>
    <row r="37" ht="33" customHeight="1">
      <c r="A37" s="9" t="inlineStr">
        <is>
          <t>The sensitivity grid on the KPI Dashboard is built with formulas; Excel's Data &gt; What-If Analysis &gt; Data Table gives the same grid. Use Goal Seek on a copy of the file for the revenue that gives DSCR = 1.25.</t>
        </is>
      </c>
    </row>
    <row r="38"/>
    <row r="39">
      <c r="A39" s="4" t="inlineStr">
        <is>
          <t>Cell colors, tax rates and sample data</t>
        </is>
      </c>
    </row>
    <row r="40" ht="33" customHeight="1">
      <c r="A40" s="9" t="inlineStr">
        <is>
          <t>Light yellow cells are inputs: type over them or clear them for your own data. Unshaded cells hold formulas that calculate automatically; do not type over them. Check cells turn green at 0 and red otherwise.</t>
        </is>
      </c>
    </row>
    <row r="41" ht="33" customHeight="1">
      <c r="A41" s="9" t="inlineStr">
        <is>
          <t>Tax rates and thresholds in this workbook reflect the course sources as of October 2026. Check them against current Ministry of Revenues guidance (and your accountant or tax adviser) before you rely on them.</t>
        </is>
      </c>
    </row>
    <row r="42" ht="33" customHeight="1">
      <c r="A42" s="9" t="inlineStr">
        <is>
          <t>Sample data is fictional: Adama Pack Industries PLC, its people, Meridian Impact Fund, Entoto Capital Goods Leasing S.C. and Bank A are invented for the course. Replace them with your own business or client.</t>
        </is>
      </c>
    </row>
    <row r="43"/>
    <row r="44" ht="22" customHeight="1">
      <c r="A44" s="14" t="inlineStr">
        <is>
          <t>Investopia Academy · A platform by Erudite Africa Investments PLC · investopia.et</t>
        </is>
      </c>
      <c r="B44" s="15" t="n"/>
      <c r="C44" s="15" t="n"/>
    </row>
  </sheetData>
  <mergeCells count="15">
    <mergeCell ref="A42:C42"/>
    <mergeCell ref="A41:C41"/>
    <mergeCell ref="B16:C16"/>
    <mergeCell ref="A36:C36"/>
    <mergeCell ref="B15:C15"/>
    <mergeCell ref="A44:C44"/>
    <mergeCell ref="A37:C37"/>
    <mergeCell ref="B19:C19"/>
    <mergeCell ref="B20:C20"/>
    <mergeCell ref="A40:C40"/>
    <mergeCell ref="A35:C35"/>
    <mergeCell ref="B17:C17"/>
    <mergeCell ref="A12:C12"/>
    <mergeCell ref="B18:C18"/>
    <mergeCell ref="A2:C2"/>
  </mergeCells>
  <conditionalFormatting sqref="C9">
    <cfRule type="expression" priority="1" dxfId="0">
      <formula>C9="All checks OK"</formula>
    </cfRule>
    <cfRule type="expression" priority="2" dxfId="1">
      <formula>C9&lt;&gt;"All checks OK"</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F9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50" customWidth="1" min="2" max="2"/>
    <col width="14" customWidth="1" min="3" max="3"/>
    <col width="14" customWidth="1" min="4" max="4"/>
    <col width="46" customWidth="1" min="5" max="5"/>
    <col width="22" customWidth="1" min="6" max="6"/>
  </cols>
  <sheetData>
    <row r="1" ht="26" customHeight="1">
      <c r="A1" s="1" t="inlineStr">
        <is>
          <t>Assumptions (Birr thousand unless stated)</t>
        </is>
      </c>
      <c r="B1" s="2" t="n"/>
      <c r="C1" s="2" t="n"/>
      <c r="D1" s="2" t="n"/>
      <c r="E1" s="2" t="n"/>
      <c r="F1" s="2" t="n"/>
    </row>
    <row r="2">
      <c r="A2" s="16" t="inlineStr">
        <is>
          <t>Yellow cells are inputs. Change the scenario in C4; the Active rows feed every sheet.</t>
        </is>
      </c>
    </row>
    <row r="3"/>
    <row r="4">
      <c r="B4" s="5" t="inlineStr">
        <is>
          <t>Scenario switch (1 Base, 2 Downside, 3 Upside)</t>
        </is>
      </c>
      <c r="C4" s="17" t="n">
        <v>1</v>
      </c>
      <c r="D4" s="18">
        <f>CHOOSE(ScenarioSwitch,"Base","Downside","Upside")</f>
        <v/>
      </c>
    </row>
    <row r="5"/>
    <row r="6">
      <c r="B6" s="4" t="inlineStr">
        <is>
          <t>Year 0 actuals: FY2025/26, year to 7 July 2026</t>
        </is>
      </c>
    </row>
    <row r="7" ht="20" customHeight="1">
      <c r="B7" s="11" t="inlineStr">
        <is>
          <t>Item</t>
        </is>
      </c>
      <c r="C7" s="11" t="inlineStr">
        <is>
          <t>Year 0</t>
        </is>
      </c>
      <c r="D7" s="11" t="inlineStr">
        <is>
          <t>Unit</t>
        </is>
      </c>
      <c r="E7" s="11" t="inlineStr">
        <is>
          <t>Source</t>
        </is>
      </c>
    </row>
    <row r="8">
      <c r="B8" s="13" t="inlineStr">
        <is>
          <t>Revenue</t>
        </is>
      </c>
      <c r="C8" s="19" t="n">
        <v>120000</v>
      </c>
      <c r="D8" s="13" t="inlineStr">
        <is>
          <t>Birr thousand</t>
        </is>
      </c>
      <c r="E8" s="13" t="inlineStr">
        <is>
          <t>Audited statements FY2025/26</t>
        </is>
      </c>
    </row>
    <row r="9">
      <c r="B9" s="13" t="inlineStr">
        <is>
          <t>Cost of sales</t>
        </is>
      </c>
      <c r="C9" s="19" t="n">
        <v>81600</v>
      </c>
      <c r="D9" s="13" t="inlineStr">
        <is>
          <t>Birr thousand</t>
        </is>
      </c>
      <c r="E9" s="13" t="inlineStr">
        <is>
          <t>Audited statements FY2025/26</t>
        </is>
      </c>
    </row>
    <row r="10">
      <c r="B10" s="13" t="inlineStr">
        <is>
          <t>Operating expenses</t>
        </is>
      </c>
      <c r="C10" s="19" t="n">
        <v>18000</v>
      </c>
      <c r="D10" s="13" t="inlineStr">
        <is>
          <t>Birr thousand</t>
        </is>
      </c>
      <c r="E10" s="13" t="inlineStr">
        <is>
          <t>Audited statements FY2025/26</t>
        </is>
      </c>
    </row>
    <row r="11">
      <c r="B11" s="13" t="inlineStr">
        <is>
          <t>Depreciation</t>
        </is>
      </c>
      <c r="C11" s="19" t="n">
        <v>4000</v>
      </c>
      <c r="D11" s="13" t="inlineStr">
        <is>
          <t>Birr thousand</t>
        </is>
      </c>
      <c r="E11" s="13" t="inlineStr">
        <is>
          <t>Audited statements FY2025/26</t>
        </is>
      </c>
    </row>
    <row r="12">
      <c r="B12" s="13" t="inlineStr">
        <is>
          <t>Interest</t>
        </is>
      </c>
      <c r="C12" s="19" t="n">
        <v>3200</v>
      </c>
      <c r="D12" s="13" t="inlineStr">
        <is>
          <t>Birr thousand</t>
        </is>
      </c>
      <c r="E12" s="13" t="inlineStr">
        <is>
          <t>Audited statements FY2025/26</t>
        </is>
      </c>
    </row>
    <row r="13">
      <c r="B13" s="13" t="inlineStr">
        <is>
          <t>Income tax</t>
        </is>
      </c>
      <c r="C13" s="19" t="n">
        <v>3960</v>
      </c>
      <c r="D13" s="13" t="inlineStr">
        <is>
          <t>Birr thousand</t>
        </is>
      </c>
      <c r="E13" s="13" t="inlineStr">
        <is>
          <t>Audited statements FY2025/26</t>
        </is>
      </c>
    </row>
    <row r="14">
      <c r="B14" s="5" t="inlineStr">
        <is>
          <t>Net profit</t>
        </is>
      </c>
      <c r="C14" s="20">
        <f>C8-C9-C10-C11-C12-C13</f>
        <v/>
      </c>
      <c r="D14" s="13" t="inlineStr">
        <is>
          <t>Birr thousand</t>
        </is>
      </c>
      <c r="E14" s="13" t="inlineStr">
        <is>
          <t>Audited statements FY2025/26</t>
        </is>
      </c>
    </row>
    <row r="15">
      <c r="B15" s="13" t="inlineStr">
        <is>
          <t>Fixed assets (net)</t>
        </is>
      </c>
      <c r="C15" s="19" t="n">
        <v>40000</v>
      </c>
      <c r="D15" s="13" t="inlineStr">
        <is>
          <t>Birr thousand</t>
        </is>
      </c>
      <c r="E15" s="13" t="inlineStr">
        <is>
          <t>Audited statements FY2025/26</t>
        </is>
      </c>
    </row>
    <row r="16">
      <c r="B16" s="13" t="inlineStr">
        <is>
          <t>Inventory</t>
        </is>
      </c>
      <c r="C16" s="19" t="n">
        <v>18000</v>
      </c>
      <c r="D16" s="13" t="inlineStr">
        <is>
          <t>Birr thousand</t>
        </is>
      </c>
      <c r="E16" s="13" t="inlineStr">
        <is>
          <t>Audited statements FY2025/26</t>
        </is>
      </c>
    </row>
    <row r="17">
      <c r="B17" s="13" t="inlineStr">
        <is>
          <t>Receivables</t>
        </is>
      </c>
      <c r="C17" s="19" t="n">
        <v>24000</v>
      </c>
      <c r="D17" s="13" t="inlineStr">
        <is>
          <t>Birr thousand</t>
        </is>
      </c>
      <c r="E17" s="13" t="inlineStr">
        <is>
          <t>Audited statements FY2025/26</t>
        </is>
      </c>
    </row>
    <row r="18">
      <c r="B18" s="13" t="inlineStr">
        <is>
          <t>Cash</t>
        </is>
      </c>
      <c r="C18" s="19" t="n">
        <v>5000</v>
      </c>
      <c r="D18" s="13" t="inlineStr">
        <is>
          <t>Birr thousand</t>
        </is>
      </c>
      <c r="E18" s="13" t="inlineStr">
        <is>
          <t>Audited statements FY2025/26</t>
        </is>
      </c>
    </row>
    <row r="19">
      <c r="B19" s="13" t="inlineStr">
        <is>
          <t>Payables</t>
        </is>
      </c>
      <c r="C19" s="19" t="n">
        <v>12000</v>
      </c>
      <c r="D19" s="13" t="inlineStr">
        <is>
          <t>Birr thousand</t>
        </is>
      </c>
      <c r="E19" s="13" t="inlineStr">
        <is>
          <t>Audited statements FY2025/26</t>
        </is>
      </c>
    </row>
    <row r="20">
      <c r="B20" s="13" t="inlineStr">
        <is>
          <t>Term loan (Bank A)</t>
        </is>
      </c>
      <c r="C20" s="19" t="n">
        <v>12000</v>
      </c>
      <c r="D20" s="13" t="inlineStr">
        <is>
          <t>Birr thousand</t>
        </is>
      </c>
      <c r="E20" s="13" t="inlineStr">
        <is>
          <t>Audited statements FY2025/26</t>
        </is>
      </c>
    </row>
    <row r="21">
      <c r="B21" s="13" t="inlineStr">
        <is>
          <t>Overdraft (Bank A)</t>
        </is>
      </c>
      <c r="C21" s="19" t="n">
        <v>8000</v>
      </c>
      <c r="D21" s="13" t="inlineStr">
        <is>
          <t>Birr thousand</t>
        </is>
      </c>
      <c r="E21" s="13" t="inlineStr">
        <is>
          <t>Audited statements FY2025/26</t>
        </is>
      </c>
    </row>
    <row r="22">
      <c r="B22" s="13" t="inlineStr">
        <is>
          <t>Lease liability</t>
        </is>
      </c>
      <c r="C22" s="19" t="n">
        <v>0</v>
      </c>
      <c r="D22" s="13" t="inlineStr">
        <is>
          <t>Birr thousand</t>
        </is>
      </c>
      <c r="E22" s="13" t="inlineStr">
        <is>
          <t>Audited statements FY2025/26</t>
        </is>
      </c>
    </row>
    <row r="23">
      <c r="B23" s="13" t="inlineStr">
        <is>
          <t>Equity</t>
        </is>
      </c>
      <c r="C23" s="19" t="n">
        <v>55000</v>
      </c>
      <c r="D23" s="13" t="inlineStr">
        <is>
          <t>Birr thousand</t>
        </is>
      </c>
      <c r="E23" s="13" t="inlineStr">
        <is>
          <t>Audited statements FY2025/26</t>
        </is>
      </c>
    </row>
    <row r="24">
      <c r="B24" s="13" t="inlineStr">
        <is>
          <t>of which share capital</t>
        </is>
      </c>
      <c r="C24" s="19" t="n">
        <v>40000</v>
      </c>
      <c r="D24" s="13" t="inlineStr">
        <is>
          <t>Birr thousand</t>
        </is>
      </c>
      <c r="E24" s="13" t="inlineStr">
        <is>
          <t>Share register</t>
        </is>
      </c>
    </row>
    <row r="25">
      <c r="B25" s="13" t="inlineStr">
        <is>
          <t>Shares in issue (number)</t>
        </is>
      </c>
      <c r="C25" s="21" t="n">
        <v>400000</v>
      </c>
      <c r="D25" s="13" t="inlineStr">
        <is>
          <t>shares</t>
        </is>
      </c>
      <c r="E25" s="13" t="inlineStr">
        <is>
          <t>Production records</t>
        </is>
      </c>
    </row>
    <row r="26">
      <c r="B26" s="13" t="inlineStr">
        <is>
          <t>Par value per share (Birr)</t>
        </is>
      </c>
      <c r="C26" s="21" t="n">
        <v>100</v>
      </c>
      <c r="D26" s="13" t="inlineStr">
        <is>
          <t>Birr</t>
        </is>
      </c>
      <c r="E26" s="13" t="inlineStr">
        <is>
          <t>Production records</t>
        </is>
      </c>
    </row>
    <row r="27">
      <c r="B27" s="13" t="inlineStr">
        <is>
          <t>Volume (tonnes)</t>
        </is>
      </c>
      <c r="C27" s="21" t="n">
        <v>8000</v>
      </c>
      <c r="D27" s="13" t="inlineStr">
        <is>
          <t>tonnes</t>
        </is>
      </c>
      <c r="E27" s="13" t="inlineStr">
        <is>
          <t>Production records</t>
        </is>
      </c>
    </row>
    <row r="28">
      <c r="B28" s="13" t="inlineStr">
        <is>
          <t>Price per tonne (Birr)</t>
        </is>
      </c>
      <c r="C28" s="21" t="n">
        <v>15000</v>
      </c>
      <c r="D28" s="13" t="inlineStr">
        <is>
          <t>Birr</t>
        </is>
      </c>
      <c r="E28" s="13" t="inlineStr">
        <is>
          <t>Production records</t>
        </is>
      </c>
    </row>
    <row r="29">
      <c r="B29" s="13" t="inlineStr">
        <is>
          <t>Capacity (tonnes)</t>
        </is>
      </c>
      <c r="C29" s="21" t="n">
        <v>9000</v>
      </c>
      <c r="D29" s="13" t="inlineStr">
        <is>
          <t>tonnes</t>
        </is>
      </c>
      <c r="E29" s="13" t="inlineStr">
        <is>
          <t>Production records</t>
        </is>
      </c>
    </row>
    <row r="30">
      <c r="B30" s="5" t="inlineStr">
        <is>
          <t>Check: assets minus liabilities and equity (must be 0)</t>
        </is>
      </c>
      <c r="C30" s="20">
        <f>C15+C16+C17+C18-(C19+C20+C21+C22+C23)</f>
        <v/>
      </c>
      <c r="D30" s="13" t="inlineStr">
        <is>
          <t>Birr thousand</t>
        </is>
      </c>
      <c r="E30" s="13" t="inlineStr"/>
    </row>
    <row r="31"/>
    <row r="32">
      <c r="B32" s="4" t="inlineStr">
        <is>
          <t>Scenario drivers, Years 1 to 3 (the Active row = CHOOSE(ScenarioSwitch, base, downside, upside))</t>
        </is>
      </c>
    </row>
    <row r="33" ht="20" customHeight="1">
      <c r="B33" s="11" t="inlineStr">
        <is>
          <t>Driver</t>
        </is>
      </c>
      <c r="C33" s="11" t="inlineStr">
        <is>
          <t>Case</t>
        </is>
      </c>
      <c r="D33" s="11" t="inlineStr">
        <is>
          <t>Year 1</t>
        </is>
      </c>
      <c r="E33" s="11" t="inlineStr">
        <is>
          <t>Year 2</t>
        </is>
      </c>
      <c r="F33" s="11" t="inlineStr">
        <is>
          <t>Year 3</t>
        </is>
      </c>
    </row>
    <row r="34">
      <c r="B34" s="13" t="inlineStr">
        <is>
          <t>Revenue growth</t>
        </is>
      </c>
      <c r="C34" s="13" t="inlineStr">
        <is>
          <t>Base</t>
        </is>
      </c>
      <c r="D34" s="22" t="n">
        <v>0.25</v>
      </c>
      <c r="E34" s="22" t="n">
        <v>0.2</v>
      </c>
      <c r="F34" s="22" t="n">
        <v>0.15</v>
      </c>
    </row>
    <row r="35">
      <c r="B35" s="13" t="inlineStr">
        <is>
          <t>Revenue growth</t>
        </is>
      </c>
      <c r="C35" s="13" t="inlineStr">
        <is>
          <t>Downside</t>
        </is>
      </c>
      <c r="D35" s="22" t="n">
        <v>0.1</v>
      </c>
      <c r="E35" s="22" t="n">
        <v>0.1</v>
      </c>
      <c r="F35" s="22" t="n">
        <v>0.1</v>
      </c>
    </row>
    <row r="36">
      <c r="B36" s="13" t="inlineStr">
        <is>
          <t>Revenue growth</t>
        </is>
      </c>
      <c r="C36" s="13" t="inlineStr">
        <is>
          <t>Upside</t>
        </is>
      </c>
      <c r="D36" s="22" t="n">
        <v>0.3</v>
      </c>
      <c r="E36" s="22" t="n">
        <v>0.25</v>
      </c>
      <c r="F36" s="22" t="n">
        <v>0.2</v>
      </c>
    </row>
    <row r="37">
      <c r="B37" s="5" t="inlineStr">
        <is>
          <t>Revenue growth: Active</t>
        </is>
      </c>
      <c r="C37" s="18">
        <f>Assumptions!$D$4</f>
        <v/>
      </c>
      <c r="D37" s="23">
        <f>CHOOSE(ScenarioSwitch,D34,D35,D36)</f>
        <v/>
      </c>
      <c r="E37" s="23">
        <f>CHOOSE(ScenarioSwitch,E34,E35,E36)</f>
        <v/>
      </c>
      <c r="F37" s="23">
        <f>CHOOSE(ScenarioSwitch,F34,F35,F36)</f>
        <v/>
      </c>
    </row>
    <row r="38">
      <c r="B38" s="13" t="inlineStr">
        <is>
          <t>Gross margin</t>
        </is>
      </c>
      <c r="C38" s="13" t="inlineStr">
        <is>
          <t>Base</t>
        </is>
      </c>
      <c r="D38" s="22" t="n">
        <v>0.34</v>
      </c>
      <c r="E38" s="22" t="n">
        <v>0.35</v>
      </c>
      <c r="F38" s="22" t="n">
        <v>0.35</v>
      </c>
    </row>
    <row r="39">
      <c r="B39" s="13" t="inlineStr">
        <is>
          <t>Gross margin</t>
        </is>
      </c>
      <c r="C39" s="13" t="inlineStr">
        <is>
          <t>Downside</t>
        </is>
      </c>
      <c r="D39" s="22" t="n">
        <v>0.3</v>
      </c>
      <c r="E39" s="22" t="n">
        <v>0.3</v>
      </c>
      <c r="F39" s="22" t="n">
        <v>0.3</v>
      </c>
    </row>
    <row r="40">
      <c r="B40" s="13" t="inlineStr">
        <is>
          <t>Gross margin</t>
        </is>
      </c>
      <c r="C40" s="13" t="inlineStr">
        <is>
          <t>Upside</t>
        </is>
      </c>
      <c r="D40" s="22" t="n">
        <v>0.35</v>
      </c>
      <c r="E40" s="22" t="n">
        <v>0.36</v>
      </c>
      <c r="F40" s="22" t="n">
        <v>0.36</v>
      </c>
    </row>
    <row r="41">
      <c r="B41" s="5" t="inlineStr">
        <is>
          <t>Gross margin: Active</t>
        </is>
      </c>
      <c r="C41" s="18">
        <f>Assumptions!$D$4</f>
        <v/>
      </c>
      <c r="D41" s="23">
        <f>CHOOSE(ScenarioSwitch,D38,D39,D40)</f>
        <v/>
      </c>
      <c r="E41" s="23">
        <f>CHOOSE(ScenarioSwitch,E38,E39,E40)</f>
        <v/>
      </c>
      <c r="F41" s="23">
        <f>CHOOSE(ScenarioSwitch,F38,F39,F40)</f>
        <v/>
      </c>
    </row>
    <row r="42">
      <c r="B42" s="13" t="inlineStr">
        <is>
          <t>Operating expenses % of revenue</t>
        </is>
      </c>
      <c r="C42" s="13" t="inlineStr">
        <is>
          <t>Base</t>
        </is>
      </c>
      <c r="D42" s="22" t="n">
        <v>0.14</v>
      </c>
      <c r="E42" s="22" t="n">
        <v>0.135</v>
      </c>
      <c r="F42" s="22" t="n">
        <v>0.135</v>
      </c>
    </row>
    <row r="43">
      <c r="B43" s="13" t="inlineStr">
        <is>
          <t>Operating expenses % of revenue</t>
        </is>
      </c>
      <c r="C43" s="13" t="inlineStr">
        <is>
          <t>Downside</t>
        </is>
      </c>
      <c r="D43" s="22" t="n">
        <v>0.15</v>
      </c>
      <c r="E43" s="22" t="n">
        <v>0.15</v>
      </c>
      <c r="F43" s="22" t="n">
        <v>0.15</v>
      </c>
    </row>
    <row r="44">
      <c r="B44" s="13" t="inlineStr">
        <is>
          <t>Operating expenses % of revenue</t>
        </is>
      </c>
      <c r="C44" s="13" t="inlineStr">
        <is>
          <t>Upside</t>
        </is>
      </c>
      <c r="D44" s="22" t="n">
        <v>0.135</v>
      </c>
      <c r="E44" s="22" t="n">
        <v>0.13</v>
      </c>
      <c r="F44" s="22" t="n">
        <v>0.13</v>
      </c>
    </row>
    <row r="45">
      <c r="B45" s="5" t="inlineStr">
        <is>
          <t>Operating expenses % of revenue: Active</t>
        </is>
      </c>
      <c r="C45" s="18">
        <f>Assumptions!$D$4</f>
        <v/>
      </c>
      <c r="D45" s="23">
        <f>CHOOSE(ScenarioSwitch,D42,D43,D44)</f>
        <v/>
      </c>
      <c r="E45" s="23">
        <f>CHOOSE(ScenarioSwitch,E42,E43,E44)</f>
        <v/>
      </c>
      <c r="F45" s="23">
        <f>CHOOSE(ScenarioSwitch,F42,F43,F44)</f>
        <v/>
      </c>
    </row>
    <row r="46">
      <c r="B46" s="13" t="inlineStr">
        <is>
          <t>Receivables % of revenue</t>
        </is>
      </c>
      <c r="C46" s="13" t="inlineStr">
        <is>
          <t>Base</t>
        </is>
      </c>
      <c r="D46" s="22" t="n">
        <v>0.18</v>
      </c>
      <c r="E46" s="22" t="n">
        <v>0.17</v>
      </c>
      <c r="F46" s="22" t="n">
        <v>0.17</v>
      </c>
    </row>
    <row r="47">
      <c r="B47" s="13" t="inlineStr">
        <is>
          <t>Receivables % of revenue</t>
        </is>
      </c>
      <c r="C47" s="13" t="inlineStr">
        <is>
          <t>Downside</t>
        </is>
      </c>
      <c r="D47" s="22" t="n">
        <v>0.2</v>
      </c>
      <c r="E47" s="22" t="n">
        <v>0.2</v>
      </c>
      <c r="F47" s="22" t="n">
        <v>0.2</v>
      </c>
    </row>
    <row r="48">
      <c r="B48" s="13" t="inlineStr">
        <is>
          <t>Receivables % of revenue</t>
        </is>
      </c>
      <c r="C48" s="13" t="inlineStr">
        <is>
          <t>Upside</t>
        </is>
      </c>
      <c r="D48" s="22" t="n">
        <v>0.17</v>
      </c>
      <c r="E48" s="22" t="n">
        <v>0.16</v>
      </c>
      <c r="F48" s="22" t="n">
        <v>0.16</v>
      </c>
    </row>
    <row r="49">
      <c r="B49" s="5" t="inlineStr">
        <is>
          <t>Receivables % of revenue: Active</t>
        </is>
      </c>
      <c r="C49" s="18">
        <f>Assumptions!$D$4</f>
        <v/>
      </c>
      <c r="D49" s="23">
        <f>CHOOSE(ScenarioSwitch,D46,D47,D48)</f>
        <v/>
      </c>
      <c r="E49" s="23">
        <f>CHOOSE(ScenarioSwitch,E46,E47,E48)</f>
        <v/>
      </c>
      <c r="F49" s="23">
        <f>CHOOSE(ScenarioSwitch,F46,F47,F48)</f>
        <v/>
      </c>
    </row>
    <row r="50">
      <c r="B50" s="13" t="inlineStr">
        <is>
          <t>Inventory % of cost of sales</t>
        </is>
      </c>
      <c r="C50" s="13" t="inlineStr">
        <is>
          <t>Base</t>
        </is>
      </c>
      <c r="D50" s="22" t="n">
        <v>0.2</v>
      </c>
      <c r="E50" s="22" t="n">
        <v>0.2</v>
      </c>
      <c r="F50" s="22" t="n">
        <v>0.2</v>
      </c>
    </row>
    <row r="51">
      <c r="B51" s="13" t="inlineStr">
        <is>
          <t>Inventory % of cost of sales</t>
        </is>
      </c>
      <c r="C51" s="13" t="inlineStr">
        <is>
          <t>Downside</t>
        </is>
      </c>
      <c r="D51" s="22" t="n">
        <v>0.22</v>
      </c>
      <c r="E51" s="22" t="n">
        <v>0.22</v>
      </c>
      <c r="F51" s="22" t="n">
        <v>0.22</v>
      </c>
    </row>
    <row r="52">
      <c r="B52" s="13" t="inlineStr">
        <is>
          <t>Inventory % of cost of sales</t>
        </is>
      </c>
      <c r="C52" s="13" t="inlineStr">
        <is>
          <t>Upside</t>
        </is>
      </c>
      <c r="D52" s="22" t="n">
        <v>0.19</v>
      </c>
      <c r="E52" s="22" t="n">
        <v>0.19</v>
      </c>
      <c r="F52" s="22" t="n">
        <v>0.19</v>
      </c>
    </row>
    <row r="53">
      <c r="B53" s="5" t="inlineStr">
        <is>
          <t>Inventory % of cost of sales: Active</t>
        </is>
      </c>
      <c r="C53" s="18">
        <f>Assumptions!$D$4</f>
        <v/>
      </c>
      <c r="D53" s="23">
        <f>CHOOSE(ScenarioSwitch,D50,D51,D52)</f>
        <v/>
      </c>
      <c r="E53" s="23">
        <f>CHOOSE(ScenarioSwitch,E50,E51,E52)</f>
        <v/>
      </c>
      <c r="F53" s="23">
        <f>CHOOSE(ScenarioSwitch,F50,F51,F52)</f>
        <v/>
      </c>
    </row>
    <row r="54">
      <c r="B54" s="13" t="inlineStr">
        <is>
          <t>Payables % of cost of sales</t>
        </is>
      </c>
      <c r="C54" s="13" t="inlineStr">
        <is>
          <t>Base</t>
        </is>
      </c>
      <c r="D54" s="22" t="n">
        <v>0.16</v>
      </c>
      <c r="E54" s="22" t="n">
        <v>0.16</v>
      </c>
      <c r="F54" s="22" t="n">
        <v>0.16</v>
      </c>
    </row>
    <row r="55">
      <c r="B55" s="13" t="inlineStr">
        <is>
          <t>Payables % of cost of sales</t>
        </is>
      </c>
      <c r="C55" s="13" t="inlineStr">
        <is>
          <t>Downside</t>
        </is>
      </c>
      <c r="D55" s="22" t="n">
        <v>0.14</v>
      </c>
      <c r="E55" s="22" t="n">
        <v>0.14</v>
      </c>
      <c r="F55" s="22" t="n">
        <v>0.14</v>
      </c>
    </row>
    <row r="56">
      <c r="B56" s="13" t="inlineStr">
        <is>
          <t>Payables % of cost of sales</t>
        </is>
      </c>
      <c r="C56" s="13" t="inlineStr">
        <is>
          <t>Upside</t>
        </is>
      </c>
      <c r="D56" s="22" t="n">
        <v>0.16</v>
      </c>
      <c r="E56" s="22" t="n">
        <v>0.16</v>
      </c>
      <c r="F56" s="22" t="n">
        <v>0.16</v>
      </c>
    </row>
    <row r="57">
      <c r="B57" s="5" t="inlineStr">
        <is>
          <t>Payables % of cost of sales: Active</t>
        </is>
      </c>
      <c r="C57" s="18">
        <f>Assumptions!$D$4</f>
        <v/>
      </c>
      <c r="D57" s="23">
        <f>CHOOSE(ScenarioSwitch,D54,D55,D56)</f>
        <v/>
      </c>
      <c r="E57" s="23">
        <f>CHOOSE(ScenarioSwitch,E54,E55,E56)</f>
        <v/>
      </c>
      <c r="F57" s="23">
        <f>CHOOSE(ScenarioSwitch,F54,F55,F56)</f>
        <v/>
      </c>
    </row>
    <row r="58"/>
    <row r="59">
      <c r="B59" s="4" t="inlineStr">
        <is>
          <t>Fixed inputs (same in all scenarios)</t>
        </is>
      </c>
    </row>
    <row r="60" ht="20" customHeight="1">
      <c r="B60" s="11" t="inlineStr">
        <is>
          <t>Item</t>
        </is>
      </c>
      <c r="C60" s="11" t="inlineStr">
        <is>
          <t>Value</t>
        </is>
      </c>
      <c r="D60" s="11" t="inlineStr">
        <is>
          <t>Unit</t>
        </is>
      </c>
      <c r="E60" s="11" t="inlineStr">
        <is>
          <t>Source</t>
        </is>
      </c>
      <c r="F60" s="11" t="inlineStr">
        <is>
          <t>Owner</t>
        </is>
      </c>
    </row>
    <row r="61" ht="33" customHeight="1">
      <c r="B61" s="13" t="inlineStr">
        <is>
          <t>Income tax rate (TaxRate)</t>
        </is>
      </c>
      <c r="C61" s="22" t="n">
        <v>0.3</v>
      </c>
      <c r="D61" s="13" t="inlineStr">
        <is>
          <t>%</t>
        </is>
      </c>
      <c r="E61" s="24" t="inlineStr">
        <is>
          <t>Income Tax Proclamation No. 979/2016 as amended by No. 1395/2025</t>
        </is>
      </c>
      <c r="F61" s="24" t="inlineStr">
        <is>
          <t>Finance manager</t>
        </is>
      </c>
    </row>
    <row r="62" ht="33" customHeight="1">
      <c r="B62" s="13" t="inlineStr">
        <is>
          <t>Minimum alternative tax rate (of turnover) (MATRate)</t>
        </is>
      </c>
      <c r="C62" s="22" t="n">
        <v>0.025</v>
      </c>
      <c r="D62" s="13" t="inlineStr">
        <is>
          <t>%</t>
        </is>
      </c>
      <c r="E62" s="24" t="inlineStr">
        <is>
          <t>Income Tax Proclamation No. 979/2016 as amended by No. 1395/2025</t>
        </is>
      </c>
      <c r="F62" s="24" t="inlineStr">
        <is>
          <t>Finance manager</t>
        </is>
      </c>
    </row>
    <row r="63">
      <c r="B63" s="13" t="inlineStr">
        <is>
          <t>Maintenance capex a year (Years 1 to 3) (MaintCapex)</t>
        </is>
      </c>
      <c r="C63" s="19" t="n">
        <v>4000</v>
      </c>
      <c r="D63" s="13" t="inlineStr">
        <is>
          <t>Birr thousand</t>
        </is>
      </c>
      <c r="E63" s="24" t="inlineStr">
        <is>
          <t>Capex plan 2026/27</t>
        </is>
      </c>
      <c r="F63" s="24" t="inlineStr">
        <is>
          <t>Production manager</t>
        </is>
      </c>
    </row>
    <row r="64" ht="33" customHeight="1">
      <c r="B64" s="13" t="inlineStr">
        <is>
          <t>Depreciation on existing assets a year (ExistDep)</t>
        </is>
      </c>
      <c r="C64" s="19" t="n">
        <v>4000</v>
      </c>
      <c r="D64" s="13" t="inlineStr">
        <is>
          <t>Birr thousand</t>
        </is>
      </c>
      <c r="E64" s="24" t="inlineStr">
        <is>
          <t>Fixed asset register (maintenance capex keeps existing net assets at 40,000)</t>
        </is>
      </c>
      <c r="F64" s="24" t="inlineStr">
        <is>
          <t>Finance manager</t>
        </is>
      </c>
    </row>
    <row r="65">
      <c r="B65" s="13" t="inlineStr">
        <is>
          <t>New corrugator line cost (Year 1) (LineCost)</t>
        </is>
      </c>
      <c r="C65" s="19" t="n">
        <v>30000</v>
      </c>
      <c r="D65" s="13" t="inlineStr">
        <is>
          <t>Birr thousand</t>
        </is>
      </c>
      <c r="E65" s="24" t="inlineStr">
        <is>
          <t>Supplier quotation and lease offer letter 12 Sept</t>
        </is>
      </c>
      <c r="F65" s="24" t="inlineStr">
        <is>
          <t>Managing director</t>
        </is>
      </c>
    </row>
    <row r="66" ht="33" customHeight="1">
      <c r="B66" s="13" t="inlineStr">
        <is>
          <t>New line depreciation, tax and book (straight line) (LineDepRate)</t>
        </is>
      </c>
      <c r="C66" s="22" t="n">
        <v>0.15</v>
      </c>
      <c r="D66" s="13" t="inlineStr">
        <is>
          <t>%</t>
        </is>
      </c>
      <c r="E66" s="24" t="inlineStr">
        <is>
          <t>Council of Ministers Regulation No. 410/2017; accounting policy</t>
        </is>
      </c>
      <c r="F66" s="24" t="inlineStr">
        <is>
          <t>Finance manager</t>
        </is>
      </c>
    </row>
    <row r="67" ht="33" customHeight="1">
      <c r="B67" s="13" t="inlineStr">
        <is>
          <t>Equity injection in Year 1 (Meridian Impact Fund) (EquityIn)</t>
        </is>
      </c>
      <c r="C67" s="19" t="n">
        <v>20000</v>
      </c>
      <c r="D67" s="13" t="inlineStr">
        <is>
          <t>Birr thousand</t>
        </is>
      </c>
      <c r="E67" s="24" t="inlineStr">
        <is>
          <t>Term sheet, Meridian Impact Fund</t>
        </is>
      </c>
      <c r="F67" s="24" t="inlineStr">
        <is>
          <t>Managing director</t>
        </is>
      </c>
    </row>
    <row r="68">
      <c r="B68" s="13" t="inlineStr">
        <is>
          <t>Term loan opening balance (TermOpen)</t>
        </is>
      </c>
      <c r="C68" s="25">
        <f>C20</f>
        <v/>
      </c>
      <c r="D68" s="13" t="inlineStr">
        <is>
          <t>Birr thousand</t>
        </is>
      </c>
      <c r="E68" s="24" t="inlineStr">
        <is>
          <t>Bank A loan agreement</t>
        </is>
      </c>
      <c r="F68" s="24" t="inlineStr">
        <is>
          <t>Finance manager</t>
        </is>
      </c>
    </row>
    <row r="69">
      <c r="B69" s="13" t="inlineStr">
        <is>
          <t>Term loan interest rate (TermRate)</t>
        </is>
      </c>
      <c r="C69" s="22" t="n">
        <v>0.16</v>
      </c>
      <c r="D69" s="13" t="inlineStr">
        <is>
          <t>%</t>
        </is>
      </c>
      <c r="E69" s="24" t="inlineStr">
        <is>
          <t>Bank A loan agreement</t>
        </is>
      </c>
      <c r="F69" s="24" t="inlineStr">
        <is>
          <t>Finance manager</t>
        </is>
      </c>
    </row>
    <row r="70">
      <c r="B70" s="13" t="inlineStr">
        <is>
          <t>Term loan principal a year (TermRepay)</t>
        </is>
      </c>
      <c r="C70" s="19" t="n">
        <v>4000</v>
      </c>
      <c r="D70" s="13" t="inlineStr">
        <is>
          <t>Birr thousand</t>
        </is>
      </c>
      <c r="E70" s="24" t="inlineStr">
        <is>
          <t>Bank A loan agreement</t>
        </is>
      </c>
      <c r="F70" s="24" t="inlineStr">
        <is>
          <t>Finance manager</t>
        </is>
      </c>
    </row>
    <row r="71">
      <c r="B71" s="13" t="inlineStr">
        <is>
          <t>Overdraft balance (held constant) (ODBal)</t>
        </is>
      </c>
      <c r="C71" s="25">
        <f>C21</f>
        <v/>
      </c>
      <c r="D71" s="13" t="inlineStr">
        <is>
          <t>Birr thousand</t>
        </is>
      </c>
      <c r="E71" s="24" t="inlineStr">
        <is>
          <t>Bank A overdraft facility letter</t>
        </is>
      </c>
      <c r="F71" s="24" t="inlineStr">
        <is>
          <t>Finance manager</t>
        </is>
      </c>
    </row>
    <row r="72">
      <c r="B72" s="13" t="inlineStr">
        <is>
          <t>Overdraft interest rate (ODRate)</t>
        </is>
      </c>
      <c r="C72" s="22" t="n">
        <v>0.16</v>
      </c>
      <c r="D72" s="13" t="inlineStr">
        <is>
          <t>%</t>
        </is>
      </c>
      <c r="E72" s="24" t="inlineStr">
        <is>
          <t>Bank A overdraft facility letter</t>
        </is>
      </c>
      <c r="F72" s="24" t="inlineStr">
        <is>
          <t>Finance manager</t>
        </is>
      </c>
    </row>
    <row r="73">
      <c r="B73" s="13" t="inlineStr">
        <is>
          <t>Lease (hire purchase) amount (LeaseAmt)</t>
        </is>
      </c>
      <c r="C73" s="19" t="n">
        <v>24000</v>
      </c>
      <c r="D73" s="13" t="inlineStr">
        <is>
          <t>Birr thousand</t>
        </is>
      </c>
      <c r="E73" s="24" t="inlineStr">
        <is>
          <t>Lease offer letter 12 Sept</t>
        </is>
      </c>
      <c r="F73" s="24" t="inlineStr">
        <is>
          <t>Finance manager</t>
        </is>
      </c>
    </row>
    <row r="74">
      <c r="B74" s="13" t="inlineStr">
        <is>
          <t>Lease interest rate (LeaseRate)</t>
        </is>
      </c>
      <c r="C74" s="22" t="n">
        <v>0.18</v>
      </c>
      <c r="D74" s="13" t="inlineStr">
        <is>
          <t>%</t>
        </is>
      </c>
      <c r="E74" s="24" t="inlineStr">
        <is>
          <t>Lease offer letter 12 Sept</t>
        </is>
      </c>
      <c r="F74" s="24" t="inlineStr">
        <is>
          <t>Finance manager</t>
        </is>
      </c>
    </row>
    <row r="75">
      <c r="B75" s="13" t="inlineStr">
        <is>
          <t>Lease term (years) (LeaseTerm)</t>
        </is>
      </c>
      <c r="C75" s="26" t="n">
        <v>5</v>
      </c>
      <c r="D75" s="13" t="inlineStr">
        <is>
          <t>years</t>
        </is>
      </c>
      <c r="E75" s="24" t="inlineStr">
        <is>
          <t>Lease offer letter 12 Sept</t>
        </is>
      </c>
      <c r="F75" s="24" t="inlineStr">
        <is>
          <t>Finance manager</t>
        </is>
      </c>
    </row>
    <row r="76" ht="33" customHeight="1">
      <c r="B76" s="13" t="inlineStr">
        <is>
          <t>Lease down payment (part of LineCost, paid from cash) (LeaseDown)</t>
        </is>
      </c>
      <c r="C76" s="19" t="n">
        <v>6000</v>
      </c>
      <c r="D76" s="13" t="inlineStr">
        <is>
          <t>Birr thousand</t>
        </is>
      </c>
      <c r="E76" s="24" t="inlineStr">
        <is>
          <t>Lease offer letter 12 Sept</t>
        </is>
      </c>
      <c r="F76" s="24" t="inlineStr">
        <is>
          <t>Finance manager</t>
        </is>
      </c>
    </row>
    <row r="77">
      <c r="B77" s="13" t="inlineStr">
        <is>
          <t>Covenant minimum DSCR (CovDSCR)</t>
        </is>
      </c>
      <c r="C77" s="27" t="n">
        <v>1.25</v>
      </c>
      <c r="D77" s="13" t="inlineStr">
        <is>
          <t>times</t>
        </is>
      </c>
      <c r="E77" s="24" t="inlineStr">
        <is>
          <t>Bank A loan agreement (company document)</t>
        </is>
      </c>
      <c r="F77" s="24" t="inlineStr">
        <is>
          <t>Finance manager</t>
        </is>
      </c>
    </row>
    <row r="78" ht="33" customHeight="1">
      <c r="B78" s="13" t="inlineStr">
        <is>
          <t>Working capital and liquidity buffer (use of funds) (Buffer)</t>
        </is>
      </c>
      <c r="C78" s="19" t="n">
        <v>14000</v>
      </c>
      <c r="D78" s="13" t="inlineStr">
        <is>
          <t>Birr thousand</t>
        </is>
      </c>
      <c r="E78" s="24" t="inlineStr">
        <is>
          <t>Sources and uses, investment memorandum</t>
        </is>
      </c>
      <c r="F78" s="24" t="inlineStr">
        <is>
          <t>Finance manager</t>
        </is>
      </c>
    </row>
    <row r="79">
      <c r="B79" s="13" t="inlineStr">
        <is>
          <t>Capacity after the expansion (tonnes) (CapacityNew)</t>
        </is>
      </c>
      <c r="C79" s="21" t="n">
        <v>15000</v>
      </c>
      <c r="D79" s="13" t="inlineStr">
        <is>
          <t>tonnes</t>
        </is>
      </c>
      <c r="E79" s="24" t="inlineStr">
        <is>
          <t>Supplier specification: 9,000 t + 6,000 t</t>
        </is>
      </c>
      <c r="F79" s="24" t="inlineStr">
        <is>
          <t>Production manager</t>
        </is>
      </c>
    </row>
    <row r="80">
      <c r="B80" s="13" t="inlineStr">
        <is>
          <t>Practical capacity ceiling (PracticalCap)</t>
        </is>
      </c>
      <c r="C80" s="28" t="n">
        <v>0.9</v>
      </c>
      <c r="D80" s="13" t="inlineStr">
        <is>
          <t>%</t>
        </is>
      </c>
      <c r="E80" s="24" t="inlineStr">
        <is>
          <t>Production plan</t>
        </is>
      </c>
      <c r="F80" s="24" t="inlineStr">
        <is>
          <t>Production manager</t>
        </is>
      </c>
    </row>
    <row r="81"/>
    <row r="82">
      <c r="B82" s="4" t="inlineStr">
        <is>
          <t>Revenue build (memo, base case, used by the KPI Dashboard)</t>
        </is>
      </c>
    </row>
    <row r="83" ht="20" customHeight="1">
      <c r="B83" s="11" t="inlineStr">
        <is>
          <t>Item</t>
        </is>
      </c>
      <c r="C83" s="11" t="inlineStr">
        <is>
          <t>Year 0</t>
        </is>
      </c>
      <c r="D83" s="11" t="inlineStr">
        <is>
          <t>Year 1</t>
        </is>
      </c>
      <c r="E83" s="11" t="inlineStr">
        <is>
          <t>Year 2</t>
        </is>
      </c>
      <c r="F83" s="11" t="inlineStr">
        <is>
          <t>Year 3</t>
        </is>
      </c>
    </row>
    <row r="84">
      <c r="B84" s="13" t="inlineStr">
        <is>
          <t>Volume (tonnes)</t>
        </is>
      </c>
      <c r="C84" s="29">
        <f>C27</f>
        <v/>
      </c>
      <c r="D84" s="21" t="n">
        <v>9375</v>
      </c>
      <c r="E84" s="21" t="n">
        <v>10000</v>
      </c>
      <c r="F84" s="21" t="n">
        <v>11500</v>
      </c>
    </row>
    <row r="85">
      <c r="B85" s="13" t="inlineStr">
        <is>
          <t>Price per tonne (Birr)</t>
        </is>
      </c>
      <c r="C85" s="29">
        <f>C28</f>
        <v/>
      </c>
      <c r="D85" s="21" t="n">
        <v>16000</v>
      </c>
      <c r="E85" s="21" t="n">
        <v>18000</v>
      </c>
      <c r="F85" s="21" t="n">
        <v>18000</v>
      </c>
    </row>
    <row r="86">
      <c r="B86" s="13" t="inlineStr">
        <is>
          <t>Capacity (tonnes)</t>
        </is>
      </c>
      <c r="C86" s="29">
        <f>C29</f>
        <v/>
      </c>
      <c r="D86" s="29">
        <f>CapacityNew</f>
        <v/>
      </c>
      <c r="E86" s="29">
        <f>CapacityNew</f>
        <v/>
      </c>
      <c r="F86" s="29">
        <f>CapacityNew</f>
        <v/>
      </c>
    </row>
    <row r="87">
      <c r="B87" s="5" t="inlineStr">
        <is>
          <t>Revenue = volume x price / 1000</t>
        </is>
      </c>
      <c r="C87" s="20">
        <f>ROUND(C84*C85/1000,0)</f>
        <v/>
      </c>
      <c r="D87" s="20">
        <f>ROUND(D84*D85/1000,0)</f>
        <v/>
      </c>
      <c r="E87" s="20">
        <f>ROUND(E84*E85/1000,0)</f>
        <v/>
      </c>
      <c r="F87" s="20">
        <f>ROUND(F84*F85/1000,0)</f>
        <v/>
      </c>
    </row>
    <row r="88">
      <c r="B88" s="13" t="inlineStr">
        <is>
          <t>Base case revenue (Year 0 x base growth)</t>
        </is>
      </c>
      <c r="C88" s="25">
        <f>C8</f>
        <v/>
      </c>
      <c r="D88" s="25">
        <f>ROUND(C88*(1+D34),0)</f>
        <v/>
      </c>
      <c r="E88" s="25">
        <f>ROUND(D88*(1+E34),0)</f>
        <v/>
      </c>
      <c r="F88" s="25">
        <f>ROUND(E88*(1+F34),0)</f>
        <v/>
      </c>
    </row>
    <row r="89">
      <c r="B89" s="5" t="inlineStr">
        <is>
          <t>Check: revenue build minus base case revenue (must be 0)</t>
        </is>
      </c>
      <c r="C89" s="20">
        <f>C87-C88</f>
        <v/>
      </c>
      <c r="D89" s="20">
        <f>D87-D88</f>
        <v/>
      </c>
      <c r="E89" s="20">
        <f>E87-E88</f>
        <v/>
      </c>
      <c r="F89" s="20">
        <f>F87-F88</f>
        <v/>
      </c>
    </row>
    <row r="90">
      <c r="B90" s="13" t="inlineStr">
        <is>
          <t>Utilization (volume / capacity)</t>
        </is>
      </c>
      <c r="C90" s="30">
        <f>IF(C86=0,0,C84/C86)</f>
        <v/>
      </c>
      <c r="D90" s="30">
        <f>IF(D86=0,0,D84/D86)</f>
        <v/>
      </c>
      <c r="E90" s="30">
        <f>IF(E86=0,0,E84/E86)</f>
        <v/>
      </c>
      <c r="F90" s="30">
        <f>IF(F86=0,0,F84/F86)</f>
        <v/>
      </c>
    </row>
    <row r="91">
      <c r="B91" s="13" t="inlineStr">
        <is>
          <t>Practical capacity (tonnes)</t>
        </is>
      </c>
      <c r="C91" s="29">
        <f>C86*PracticalCap</f>
        <v/>
      </c>
      <c r="D91" s="29">
        <f>D86*PracticalCap</f>
        <v/>
      </c>
      <c r="E91" s="29">
        <f>E86*PracticalCap</f>
        <v/>
      </c>
      <c r="F91" s="29">
        <f>F86*PracticalCap</f>
        <v/>
      </c>
    </row>
    <row r="92"/>
    <row r="93" ht="22" customHeight="1">
      <c r="A93" s="14" t="inlineStr">
        <is>
          <t>Investopia Academy · A platform by Erudite Africa Investments PLC · investopia.et</t>
        </is>
      </c>
      <c r="B93" s="15" t="n"/>
      <c r="C93" s="15" t="n"/>
      <c r="D93" s="15" t="n"/>
      <c r="E93" s="15" t="n"/>
      <c r="F93" s="15" t="n"/>
    </row>
  </sheetData>
  <mergeCells count="1">
    <mergeCell ref="A93:F93"/>
  </mergeCells>
  <conditionalFormatting sqref="C30">
    <cfRule type="expression" priority="1" dxfId="1">
      <formula>AND(ISNUMBER(C30),ABS(C30)&gt;0.005)</formula>
    </cfRule>
    <cfRule type="expression" priority="2" dxfId="0">
      <formula>AND(ISNUMBER(C30),ABS(C30)&lt;=0.005)</formula>
    </cfRule>
  </conditionalFormatting>
  <conditionalFormatting sqref="C89:F89">
    <cfRule type="expression" priority="3" dxfId="1">
      <formula>AND(ISNUMBER(C89),ABS(C89)&gt;0.005)</formula>
    </cfRule>
    <cfRule type="expression" priority="4" dxfId="0">
      <formula>AND(ISNUMBER(C89),ABS(C89)&lt;=0.005)</formula>
    </cfRule>
  </conditionalFormatting>
  <dataValidations count="1">
    <dataValidation sqref="C4" showDropDown="0" showInputMessage="0" showErrorMessage="0" allowBlank="1" errorTitle="Invalid entry" error="Choose a value from the list." type="list">
      <formula1>"1,2,3"</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G6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52" customWidth="1" min="2" max="2"/>
    <col width="15" customWidth="1" min="3" max="3"/>
    <col width="15" customWidth="1" min="4" max="4"/>
    <col width="15" customWidth="1" min="5" max="5"/>
    <col width="15" customWidth="1" min="6" max="6"/>
    <col width="40" customWidth="1" min="7" max="7"/>
  </cols>
  <sheetData>
    <row r="1" ht="26" customHeight="1">
      <c r="A1" s="1" t="inlineStr">
        <is>
          <t>Projected statements (Birr thousand)</t>
        </is>
      </c>
      <c r="B1" s="2" t="n"/>
      <c r="C1" s="2" t="n"/>
      <c r="D1" s="2" t="n"/>
      <c r="E1" s="2" t="n"/>
      <c r="F1" s="2" t="n"/>
      <c r="G1" s="2" t="n"/>
    </row>
    <row r="2">
      <c r="A2" s="31">
        <f>"Scenario: "&amp;Assumptions!D4&amp;". Year 0 is actual; Years 1 to 3 are projected. All lines are formulas."</f>
        <v/>
      </c>
    </row>
    <row r="3">
      <c r="B3" s="32" t="inlineStr">
        <is>
          <t>Year index (used by formulas)</t>
        </is>
      </c>
      <c r="C3" s="33" t="n">
        <v>0</v>
      </c>
      <c r="D3" s="33" t="n">
        <v>1</v>
      </c>
      <c r="E3" s="33" t="n">
        <v>2</v>
      </c>
      <c r="F3" s="33" t="n">
        <v>3</v>
      </c>
    </row>
    <row r="4" ht="33" customHeight="1">
      <c r="B4" s="11" t="inlineStr">
        <is>
          <t>Birr thousand</t>
        </is>
      </c>
      <c r="C4" s="11" t="inlineStr">
        <is>
          <t>Year 0 FY2025/26 (actual)</t>
        </is>
      </c>
      <c r="D4" s="11" t="inlineStr">
        <is>
          <t>Year 1 FY2026/27</t>
        </is>
      </c>
      <c r="E4" s="11" t="inlineStr">
        <is>
          <t>Year 2 FY2027/28</t>
        </is>
      </c>
      <c r="F4" s="11" t="inlineStr">
        <is>
          <t>Year 3 FY2028/29</t>
        </is>
      </c>
    </row>
    <row r="5">
      <c r="B5" s="4" t="inlineStr">
        <is>
          <t>Income statement</t>
        </is>
      </c>
    </row>
    <row r="6">
      <c r="B6" s="5" t="inlineStr">
        <is>
          <t>Revenue</t>
        </is>
      </c>
      <c r="C6" s="20">
        <f>Assumptions!C8</f>
        <v/>
      </c>
      <c r="D6" s="20">
        <f>ROUND(C6*(1+Assumptions!D37),0)</f>
        <v/>
      </c>
      <c r="E6" s="20">
        <f>ROUND(D6*(1+Assumptions!E37),0)</f>
        <v/>
      </c>
      <c r="F6" s="20">
        <f>ROUND(E6*(1+Assumptions!F37),0)</f>
        <v/>
      </c>
    </row>
    <row r="7">
      <c r="B7" s="13" t="inlineStr">
        <is>
          <t>Cost of sales</t>
        </is>
      </c>
      <c r="C7" s="25">
        <f>Assumptions!C9</f>
        <v/>
      </c>
      <c r="D7" s="25">
        <f>ROUND(D6*(1-Assumptions!D41),0)</f>
        <v/>
      </c>
      <c r="E7" s="25">
        <f>ROUND(E6*(1-Assumptions!E41),0)</f>
        <v/>
      </c>
      <c r="F7" s="25">
        <f>ROUND(F6*(1-Assumptions!F41),0)</f>
        <v/>
      </c>
    </row>
    <row r="8">
      <c r="B8" s="5" t="inlineStr">
        <is>
          <t>Gross profit</t>
        </is>
      </c>
      <c r="C8" s="20">
        <f>C6-C7</f>
        <v/>
      </c>
      <c r="D8" s="20">
        <f>D6-D7</f>
        <v/>
      </c>
      <c r="E8" s="20">
        <f>E6-E7</f>
        <v/>
      </c>
      <c r="F8" s="20">
        <f>F6-F7</f>
        <v/>
      </c>
    </row>
    <row r="9">
      <c r="B9" s="13" t="inlineStr">
        <is>
          <t>Gross margin</t>
        </is>
      </c>
      <c r="C9" s="30">
        <f>IF(C6=0,0,C8/C6)</f>
        <v/>
      </c>
      <c r="D9" s="30">
        <f>IF(D6=0,0,D8/D6)</f>
        <v/>
      </c>
      <c r="E9" s="30">
        <f>IF(E6=0,0,E8/E6)</f>
        <v/>
      </c>
      <c r="F9" s="30">
        <f>IF(F6=0,0,F8/F6)</f>
        <v/>
      </c>
    </row>
    <row r="10">
      <c r="B10" s="13" t="inlineStr">
        <is>
          <t>Operating expenses</t>
        </is>
      </c>
      <c r="C10" s="25">
        <f>Assumptions!C10</f>
        <v/>
      </c>
      <c r="D10" s="25">
        <f>ROUND(D6*Assumptions!D45,0)</f>
        <v/>
      </c>
      <c r="E10" s="25">
        <f>ROUND(E6*Assumptions!E45,0)</f>
        <v/>
      </c>
      <c r="F10" s="25">
        <f>ROUND(F6*Assumptions!F45,0)</f>
        <v/>
      </c>
    </row>
    <row r="11">
      <c r="B11" s="5" t="inlineStr">
        <is>
          <t>EBITDA</t>
        </is>
      </c>
      <c r="C11" s="20">
        <f>C8-C10</f>
        <v/>
      </c>
      <c r="D11" s="20">
        <f>D8-D10</f>
        <v/>
      </c>
      <c r="E11" s="20">
        <f>E8-E10</f>
        <v/>
      </c>
      <c r="F11" s="20">
        <f>F8-F10</f>
        <v/>
      </c>
    </row>
    <row r="12">
      <c r="B12" s="13" t="inlineStr">
        <is>
          <t>EBITDA margin</t>
        </is>
      </c>
      <c r="C12" s="30">
        <f>IF(C6=0,0,C11/C6)</f>
        <v/>
      </c>
      <c r="D12" s="30">
        <f>IF(D6=0,0,D11/D6)</f>
        <v/>
      </c>
      <c r="E12" s="30">
        <f>IF(E6=0,0,E11/E6)</f>
        <v/>
      </c>
      <c r="F12" s="30">
        <f>IF(F6=0,0,F11/F6)</f>
        <v/>
      </c>
    </row>
    <row r="13">
      <c r="B13" s="13" t="inlineStr">
        <is>
          <t>Depreciation</t>
        </is>
      </c>
      <c r="C13" s="25">
        <f>Assumptions!C11</f>
        <v/>
      </c>
      <c r="D13" s="25">
        <f>ExistDep+IF(D$3&gt;=1,ROUND(LineCost*LineDepRate,0),0)</f>
        <v/>
      </c>
      <c r="E13" s="25">
        <f>ExistDep+IF(E$3&gt;=1,ROUND(LineCost*LineDepRate,0),0)</f>
        <v/>
      </c>
      <c r="F13" s="25">
        <f>ExistDep+IF(F$3&gt;=1,ROUND(LineCost*LineDepRate,0),0)</f>
        <v/>
      </c>
    </row>
    <row r="14">
      <c r="B14" s="5" t="inlineStr">
        <is>
          <t>EBIT</t>
        </is>
      </c>
      <c r="C14" s="20">
        <f>C11-C13</f>
        <v/>
      </c>
      <c r="D14" s="20">
        <f>D11-D13</f>
        <v/>
      </c>
      <c r="E14" s="20">
        <f>E11-E13</f>
        <v/>
      </c>
      <c r="F14" s="20">
        <f>F11-F13</f>
        <v/>
      </c>
    </row>
    <row r="15">
      <c r="B15" s="13" t="inlineStr">
        <is>
          <t>Interest (term loan + overdraft + lease)</t>
        </is>
      </c>
      <c r="C15" s="25">
        <f>Assumptions!C12</f>
        <v/>
      </c>
      <c r="D15" s="25">
        <f>'Loan and Lease'!E6+'Loan and Lease'!E12+'Loan and Lease'!E22</f>
        <v/>
      </c>
      <c r="E15" s="25">
        <f>'Loan and Lease'!E7+'Loan and Lease'!E13+'Loan and Lease'!E23</f>
        <v/>
      </c>
      <c r="F15" s="25">
        <f>'Loan and Lease'!E8+'Loan and Lease'!E14+'Loan and Lease'!E24</f>
        <v/>
      </c>
    </row>
    <row r="16">
      <c r="B16" s="5" t="inlineStr">
        <is>
          <t>Profit before tax</t>
        </is>
      </c>
      <c r="C16" s="20">
        <f>C14-C15</f>
        <v/>
      </c>
      <c r="D16" s="20">
        <f>D14-D15</f>
        <v/>
      </c>
      <c r="E16" s="20">
        <f>E14-E15</f>
        <v/>
      </c>
      <c r="F16" s="20">
        <f>F14-F15</f>
        <v/>
      </c>
    </row>
    <row r="17">
      <c r="B17" s="13" t="inlineStr">
        <is>
          <t>Regular tax (TaxRate x profit before tax)</t>
        </is>
      </c>
      <c r="C17" s="25">
        <f>ROUND(MAX(0,C16)*TaxRate,0)</f>
        <v/>
      </c>
      <c r="D17" s="25">
        <f>ROUND(MAX(0,D16)*TaxRate,0)</f>
        <v/>
      </c>
      <c r="E17" s="25">
        <f>ROUND(MAX(0,E16)*TaxRate,0)</f>
        <v/>
      </c>
      <c r="F17" s="25">
        <f>ROUND(MAX(0,F16)*TaxRate,0)</f>
        <v/>
      </c>
    </row>
    <row r="18">
      <c r="B18" s="13" t="inlineStr">
        <is>
          <t>Minimum alternative tax (MATRate x revenue)</t>
        </is>
      </c>
      <c r="C18" s="25">
        <f>ROUND(C6*MATRate,0)</f>
        <v/>
      </c>
      <c r="D18" s="25">
        <f>ROUND(D6*MATRate,0)</f>
        <v/>
      </c>
      <c r="E18" s="25">
        <f>ROUND(E6*MATRate,0)</f>
        <v/>
      </c>
      <c r="F18" s="25">
        <f>ROUND(F6*MATRate,0)</f>
        <v/>
      </c>
    </row>
    <row r="19">
      <c r="B19" s="13" t="inlineStr">
        <is>
          <t>Income tax (higher of regular tax and MAT)</t>
        </is>
      </c>
      <c r="C19" s="25">
        <f>Assumptions!C13</f>
        <v/>
      </c>
      <c r="D19" s="25">
        <f>MAX(D17,D18)</f>
        <v/>
      </c>
      <c r="E19" s="25">
        <f>MAX(E17,E18)</f>
        <v/>
      </c>
      <c r="F19" s="25">
        <f>MAX(F17,F18)</f>
        <v/>
      </c>
    </row>
    <row r="20">
      <c r="B20" s="13" t="inlineStr">
        <is>
          <t>MAT applies?</t>
        </is>
      </c>
      <c r="C20" s="34">
        <f>IF(C18&gt;C17,"MAT applies","")</f>
        <v/>
      </c>
      <c r="D20" s="34">
        <f>IF(D18&gt;D17,"MAT applies","")</f>
        <v/>
      </c>
      <c r="E20" s="34">
        <f>IF(E18&gt;E17,"MAT applies","")</f>
        <v/>
      </c>
      <c r="F20" s="34">
        <f>IF(F18&gt;F17,"MAT applies","")</f>
        <v/>
      </c>
    </row>
    <row r="21">
      <c r="B21" s="5" t="inlineStr">
        <is>
          <t>Net profit</t>
        </is>
      </c>
      <c r="C21" s="20">
        <f>C16-C19</f>
        <v/>
      </c>
      <c r="D21" s="20">
        <f>D16-D19</f>
        <v/>
      </c>
      <c r="E21" s="20">
        <f>E16-E19</f>
        <v/>
      </c>
      <c r="F21" s="20">
        <f>F16-F19</f>
        <v/>
      </c>
    </row>
    <row r="22"/>
    <row r="23">
      <c r="B23" s="4" t="inlineStr">
        <is>
          <t>Balance sheet (end of year)</t>
        </is>
      </c>
    </row>
    <row r="24">
      <c r="B24" s="13" t="inlineStr">
        <is>
          <t>Fixed assets (net)</t>
        </is>
      </c>
      <c r="C24" s="25">
        <f>Assumptions!C15</f>
        <v/>
      </c>
      <c r="D24" s="25">
        <f>C24+MaintCapex+IF(D$3=1,LineCost,0)-D13</f>
        <v/>
      </c>
      <c r="E24" s="25">
        <f>D24+MaintCapex+IF(E$3=1,LineCost,0)-E13</f>
        <v/>
      </c>
      <c r="F24" s="25">
        <f>E24+MaintCapex+IF(F$3=1,LineCost,0)-F13</f>
        <v/>
      </c>
    </row>
    <row r="25">
      <c r="B25" s="13" t="inlineStr">
        <is>
          <t>Inventory</t>
        </is>
      </c>
      <c r="C25" s="25">
        <f>Assumptions!C16</f>
        <v/>
      </c>
      <c r="D25" s="25">
        <f>ROUND(D7*Assumptions!D53,0)</f>
        <v/>
      </c>
      <c r="E25" s="25">
        <f>ROUND(E7*Assumptions!E53,0)</f>
        <v/>
      </c>
      <c r="F25" s="25">
        <f>ROUND(F7*Assumptions!F53,0)</f>
        <v/>
      </c>
    </row>
    <row r="26">
      <c r="B26" s="13" t="inlineStr">
        <is>
          <t>Receivables</t>
        </is>
      </c>
      <c r="C26" s="25">
        <f>Assumptions!C17</f>
        <v/>
      </c>
      <c r="D26" s="25">
        <f>ROUND(D6*Assumptions!D49,0)</f>
        <v/>
      </c>
      <c r="E26" s="25">
        <f>ROUND(E6*Assumptions!E49,0)</f>
        <v/>
      </c>
      <c r="F26" s="25">
        <f>ROUND(F6*Assumptions!F49,0)</f>
        <v/>
      </c>
    </row>
    <row r="27">
      <c r="B27" s="13" t="inlineStr">
        <is>
          <t>Cash (from the cash flow below)</t>
        </is>
      </c>
      <c r="C27" s="25">
        <f>Assumptions!C18</f>
        <v/>
      </c>
      <c r="D27" s="25">
        <f>D52</f>
        <v/>
      </c>
      <c r="E27" s="25">
        <f>E52</f>
        <v/>
      </c>
      <c r="F27" s="25">
        <f>F52</f>
        <v/>
      </c>
    </row>
    <row r="28">
      <c r="B28" s="5" t="inlineStr">
        <is>
          <t>Total assets</t>
        </is>
      </c>
      <c r="C28" s="20">
        <f>SUM(C24:C27)</f>
        <v/>
      </c>
      <c r="D28" s="20">
        <f>SUM(D24:D27)</f>
        <v/>
      </c>
      <c r="E28" s="20">
        <f>SUM(E24:E27)</f>
        <v/>
      </c>
      <c r="F28" s="20">
        <f>SUM(F24:F27)</f>
        <v/>
      </c>
    </row>
    <row r="29">
      <c r="B29" s="13" t="inlineStr">
        <is>
          <t>Payables</t>
        </is>
      </c>
      <c r="C29" s="25">
        <f>Assumptions!C19</f>
        <v/>
      </c>
      <c r="D29" s="25">
        <f>ROUND(D7*Assumptions!D57,0)</f>
        <v/>
      </c>
      <c r="E29" s="25">
        <f>ROUND(E7*Assumptions!E57,0)</f>
        <v/>
      </c>
      <c r="F29" s="25">
        <f>ROUND(F7*Assumptions!F57,0)</f>
        <v/>
      </c>
    </row>
    <row r="30">
      <c r="B30" s="13" t="inlineStr">
        <is>
          <t>Term loan</t>
        </is>
      </c>
      <c r="C30" s="25">
        <f>Assumptions!C20</f>
        <v/>
      </c>
      <c r="D30" s="25">
        <f>'Loan and Lease'!H6</f>
        <v/>
      </c>
      <c r="E30" s="25">
        <f>'Loan and Lease'!H7</f>
        <v/>
      </c>
      <c r="F30" s="25">
        <f>'Loan and Lease'!H8</f>
        <v/>
      </c>
    </row>
    <row r="31">
      <c r="B31" s="13" t="inlineStr">
        <is>
          <t>Overdraft</t>
        </is>
      </c>
      <c r="C31" s="25">
        <f>Assumptions!C21</f>
        <v/>
      </c>
      <c r="D31" s="25">
        <f>'Loan and Lease'!H12</f>
        <v/>
      </c>
      <c r="E31" s="25">
        <f>'Loan and Lease'!H13</f>
        <v/>
      </c>
      <c r="F31" s="25">
        <f>'Loan and Lease'!H14</f>
        <v/>
      </c>
    </row>
    <row r="32">
      <c r="B32" s="13" t="inlineStr">
        <is>
          <t>Lease liability</t>
        </is>
      </c>
      <c r="C32" s="25">
        <f>Assumptions!C22</f>
        <v/>
      </c>
      <c r="D32" s="25">
        <f>'Loan and Lease'!H22</f>
        <v/>
      </c>
      <c r="E32" s="25">
        <f>'Loan and Lease'!H23</f>
        <v/>
      </c>
      <c r="F32" s="25">
        <f>'Loan and Lease'!H24</f>
        <v/>
      </c>
    </row>
    <row r="33">
      <c r="B33" s="5" t="inlineStr">
        <is>
          <t>Total liabilities</t>
        </is>
      </c>
      <c r="C33" s="20">
        <f>SUM(C29:C32)</f>
        <v/>
      </c>
      <c r="D33" s="20">
        <f>SUM(D29:D32)</f>
        <v/>
      </c>
      <c r="E33" s="20">
        <f>SUM(E29:E32)</f>
        <v/>
      </c>
      <c r="F33" s="20">
        <f>SUM(F29:F32)</f>
        <v/>
      </c>
    </row>
    <row r="34">
      <c r="B34" s="13" t="inlineStr">
        <is>
          <t>Equity</t>
        </is>
      </c>
      <c r="C34" s="25">
        <f>Assumptions!C23</f>
        <v/>
      </c>
      <c r="D34" s="25">
        <f>C34+D21+IF(D$3=1,EquityIn,0)</f>
        <v/>
      </c>
      <c r="E34" s="25">
        <f>D34+E21+IF(E$3=1,EquityIn,0)</f>
        <v/>
      </c>
      <c r="F34" s="25">
        <f>E34+F21+IF(F$3=1,EquityIn,0)</f>
        <v/>
      </c>
      <c r="G34" s="35" t="inlineStr">
        <is>
          <t>Profit is assumed capitalized by shareholder resolution within 12 months (no undistributed profit tax, no dividend).</t>
        </is>
      </c>
    </row>
    <row r="35">
      <c r="B35" s="5" t="inlineStr">
        <is>
          <t>Total liabilities and equity</t>
        </is>
      </c>
      <c r="C35" s="20">
        <f>C33+C34</f>
        <v/>
      </c>
      <c r="D35" s="20">
        <f>D33+D34</f>
        <v/>
      </c>
      <c r="E35" s="20">
        <f>E33+E34</f>
        <v/>
      </c>
      <c r="F35" s="20">
        <f>F33+F34</f>
        <v/>
      </c>
    </row>
    <row r="36">
      <c r="B36" s="5" t="inlineStr">
        <is>
          <t>Balance check (must be 0)</t>
        </is>
      </c>
      <c r="C36" s="20">
        <f>C28-C35</f>
        <v/>
      </c>
      <c r="D36" s="20">
        <f>D28-D35</f>
        <v/>
      </c>
      <c r="E36" s="20">
        <f>E28-E35</f>
        <v/>
      </c>
      <c r="F36" s="20">
        <f>F28-F35</f>
        <v/>
      </c>
    </row>
    <row r="37"/>
    <row r="38">
      <c r="B38" s="4" t="inlineStr">
        <is>
          <t>Cash flow statement</t>
        </is>
      </c>
    </row>
    <row r="39">
      <c r="B39" s="13" t="inlineStr">
        <is>
          <t>Net profit</t>
        </is>
      </c>
      <c r="C39" s="12" t="n"/>
      <c r="D39" s="25">
        <f>D21</f>
        <v/>
      </c>
      <c r="E39" s="25">
        <f>E21</f>
        <v/>
      </c>
      <c r="F39" s="25">
        <f>F21</f>
        <v/>
      </c>
    </row>
    <row r="40">
      <c r="B40" s="13" t="inlineStr">
        <is>
          <t>Add: depreciation</t>
        </is>
      </c>
      <c r="C40" s="12" t="n"/>
      <c r="D40" s="25">
        <f>D13</f>
        <v/>
      </c>
      <c r="E40" s="25">
        <f>E13</f>
        <v/>
      </c>
      <c r="F40" s="25">
        <f>F13</f>
        <v/>
      </c>
    </row>
    <row r="41" ht="33" customHeight="1">
      <c r="B41" s="13" t="inlineStr">
        <is>
          <t>Less: increase in working capital (receivables + inventory - payables)</t>
        </is>
      </c>
      <c r="C41" s="12" t="n"/>
      <c r="D41" s="25">
        <f>(D26-C26)+(D25-C25)-(D29-C29)</f>
        <v/>
      </c>
      <c r="E41" s="25">
        <f>(E26-D26)+(E25-D25)-(E29-D29)</f>
        <v/>
      </c>
      <c r="F41" s="25">
        <f>(F26-E26)+(F25-E25)-(F29-E29)</f>
        <v/>
      </c>
    </row>
    <row r="42">
      <c r="B42" s="5" t="inlineStr">
        <is>
          <t>Operating cash flow</t>
        </is>
      </c>
      <c r="C42" s="12" t="n"/>
      <c r="D42" s="20">
        <f>D39+D40-D41</f>
        <v/>
      </c>
      <c r="E42" s="20">
        <f>E39+E40-E41</f>
        <v/>
      </c>
      <c r="F42" s="20">
        <f>F39+F40-F41</f>
        <v/>
      </c>
    </row>
    <row r="43">
      <c r="B43" s="13" t="inlineStr">
        <is>
          <t>Capital spending (maintenance capex + new line)</t>
        </is>
      </c>
      <c r="C43" s="12" t="n"/>
      <c r="D43" s="25">
        <f>-(MaintCapex+IF(D$3=1,LineCost,0))</f>
        <v/>
      </c>
      <c r="E43" s="25">
        <f>-(MaintCapex+IF(E$3=1,LineCost,0))</f>
        <v/>
      </c>
      <c r="F43" s="25">
        <f>-(MaintCapex+IF(F$3=1,LineCost,0))</f>
        <v/>
      </c>
    </row>
    <row r="44">
      <c r="B44" s="13" t="inlineStr">
        <is>
          <t>Equity injection</t>
        </is>
      </c>
      <c r="C44" s="12" t="n"/>
      <c r="D44" s="25">
        <f>IF(D$3=1,EquityIn,0)</f>
        <v/>
      </c>
      <c r="E44" s="25">
        <f>IF(E$3=1,EquityIn,0)</f>
        <v/>
      </c>
      <c r="F44" s="25">
        <f>IF(F$3=1,EquityIn,0)</f>
        <v/>
      </c>
    </row>
    <row r="45">
      <c r="B45" s="13" t="inlineStr">
        <is>
          <t>Lease drawdown</t>
        </is>
      </c>
      <c r="C45" s="12" t="n"/>
      <c r="D45" s="25">
        <f>'Loan and Lease'!D22</f>
        <v/>
      </c>
      <c r="E45" s="25">
        <f>'Loan and Lease'!D23</f>
        <v/>
      </c>
      <c r="F45" s="25">
        <f>'Loan and Lease'!D24</f>
        <v/>
      </c>
    </row>
    <row r="46">
      <c r="B46" s="13" t="inlineStr">
        <is>
          <t>Term loan principal repaid</t>
        </is>
      </c>
      <c r="C46" s="12" t="n"/>
      <c r="D46" s="25">
        <f>-'Loan and Lease'!F6</f>
        <v/>
      </c>
      <c r="E46" s="25">
        <f>-'Loan and Lease'!F7</f>
        <v/>
      </c>
      <c r="F46" s="25">
        <f>-'Loan and Lease'!F8</f>
        <v/>
      </c>
    </row>
    <row r="47">
      <c r="B47" s="13" t="inlineStr">
        <is>
          <t>Lease principal repaid</t>
        </is>
      </c>
      <c r="C47" s="12" t="n"/>
      <c r="D47" s="25">
        <f>-'Loan and Lease'!F22</f>
        <v/>
      </c>
      <c r="E47" s="25">
        <f>-'Loan and Lease'!F23</f>
        <v/>
      </c>
      <c r="F47" s="25">
        <f>-'Loan and Lease'!F24</f>
        <v/>
      </c>
    </row>
    <row r="48">
      <c r="B48" s="13" t="inlineStr">
        <is>
          <t>Overdraft drawn / (repaid)</t>
        </is>
      </c>
      <c r="C48" s="12" t="n"/>
      <c r="D48" s="25">
        <f>D31-C31</f>
        <v/>
      </c>
      <c r="E48" s="25">
        <f>E31-D31</f>
        <v/>
      </c>
      <c r="F48" s="25">
        <f>F31-E31</f>
        <v/>
      </c>
    </row>
    <row r="49">
      <c r="B49" s="5" t="inlineStr">
        <is>
          <t>Financing</t>
        </is>
      </c>
      <c r="C49" s="12" t="n"/>
      <c r="D49" s="20">
        <f>SUM(D44:D48)</f>
        <v/>
      </c>
      <c r="E49" s="20">
        <f>SUM(E44:E48)</f>
        <v/>
      </c>
      <c r="F49" s="20">
        <f>SUM(F44:F48)</f>
        <v/>
      </c>
    </row>
    <row r="50">
      <c r="B50" s="5" t="inlineStr">
        <is>
          <t>Net change in cash</t>
        </is>
      </c>
      <c r="C50" s="12" t="n"/>
      <c r="D50" s="20">
        <f>D42+D43+D49</f>
        <v/>
      </c>
      <c r="E50" s="20">
        <f>E42+E43+E49</f>
        <v/>
      </c>
      <c r="F50" s="20">
        <f>F42+F43+F49</f>
        <v/>
      </c>
    </row>
    <row r="51">
      <c r="B51" s="13" t="inlineStr">
        <is>
          <t>Opening cash</t>
        </is>
      </c>
      <c r="C51" s="12" t="n"/>
      <c r="D51" s="25">
        <f>C27</f>
        <v/>
      </c>
      <c r="E51" s="25">
        <f>D27</f>
        <v/>
      </c>
      <c r="F51" s="25">
        <f>E27</f>
        <v/>
      </c>
    </row>
    <row r="52">
      <c r="B52" s="5" t="inlineStr">
        <is>
          <t>Closing cash</t>
        </is>
      </c>
      <c r="C52" s="12" t="n"/>
      <c r="D52" s="20">
        <f>D51+D50</f>
        <v/>
      </c>
      <c r="E52" s="20">
        <f>E51+E50</f>
        <v/>
      </c>
      <c r="F52" s="20">
        <f>F51+F50</f>
        <v/>
      </c>
    </row>
    <row r="53"/>
    <row r="54">
      <c r="B54" s="4" t="inlineStr">
        <is>
          <t>Scenario summary (paste the Live column as values into its scenario column after each run)</t>
        </is>
      </c>
    </row>
    <row r="55" ht="33" customHeight="1">
      <c r="B55" s="11" t="inlineStr">
        <is>
          <t>Item</t>
        </is>
      </c>
      <c r="C55" s="11" t="inlineStr">
        <is>
          <t>Base</t>
        </is>
      </c>
      <c r="D55" s="11" t="inlineStr">
        <is>
          <t>Downside</t>
        </is>
      </c>
      <c r="E55" s="11" t="inlineStr">
        <is>
          <t>Upside</t>
        </is>
      </c>
      <c r="F55" s="11" t="inlineStr">
        <is>
          <t>Live (active scenario)</t>
        </is>
      </c>
      <c r="G55" s="11" t="inlineStr">
        <is>
          <t>Live minus stored</t>
        </is>
      </c>
    </row>
    <row r="56">
      <c r="B56" s="13" t="inlineStr">
        <is>
          <t>Year 1 revenue</t>
        </is>
      </c>
      <c r="C56" s="19" t="n">
        <v>150000</v>
      </c>
      <c r="D56" s="19" t="n">
        <v>132000</v>
      </c>
      <c r="E56" s="19" t="n">
        <v>156000</v>
      </c>
      <c r="F56" s="20">
        <f>D6</f>
        <v/>
      </c>
      <c r="G56" s="25">
        <f>F56-INDEX(C56:E56,ScenarioSwitch)</f>
        <v/>
      </c>
    </row>
    <row r="57">
      <c r="B57" s="13" t="inlineStr">
        <is>
          <t>Year 1 EBITDA</t>
        </is>
      </c>
      <c r="C57" s="19" t="n">
        <v>30000</v>
      </c>
      <c r="D57" s="19" t="n">
        <v>19800</v>
      </c>
      <c r="E57" s="19" t="n">
        <v>33540</v>
      </c>
      <c r="F57" s="20">
        <f>D11</f>
        <v/>
      </c>
      <c r="G57" s="25">
        <f>F57-INDEX(C57:E57,ScenarioSwitch)</f>
        <v/>
      </c>
    </row>
    <row r="58">
      <c r="B58" s="13" t="inlineStr">
        <is>
          <t>Year 1 net profit</t>
        </is>
      </c>
      <c r="C58" s="19" t="n">
        <v>9786</v>
      </c>
      <c r="D58" s="19" t="n">
        <v>480</v>
      </c>
      <c r="E58" s="19" t="n">
        <v>12264</v>
      </c>
      <c r="F58" s="20">
        <f>D21</f>
        <v/>
      </c>
      <c r="G58" s="25">
        <f>F58-INDEX(C58:E58,ScenarioSwitch)</f>
        <v/>
      </c>
    </row>
    <row r="59">
      <c r="B59" s="13" t="inlineStr">
        <is>
          <t>Year 1 DSCR</t>
        </is>
      </c>
      <c r="C59" s="27" t="n">
        <v>1.58125</v>
      </c>
      <c r="D59" s="27" t="n">
        <v>1.011029411764706</v>
      </c>
      <c r="E59" s="27" t="n">
        <v>1.733088235294118</v>
      </c>
      <c r="F59" s="36">
        <f>'KPI Dashboard'!D17</f>
        <v/>
      </c>
      <c r="G59" s="37">
        <f>F59-INDEX(C59:E59,ScenarioSwitch)</f>
        <v/>
      </c>
    </row>
    <row r="60">
      <c r="B60" s="13" t="inlineStr">
        <is>
          <t>Year 1 closing cash</t>
        </is>
      </c>
      <c r="C60" s="19" t="n">
        <v>23526</v>
      </c>
      <c r="D60" s="19" t="n">
        <v>11388</v>
      </c>
      <c r="E60" s="19" t="n">
        <v>27402</v>
      </c>
      <c r="F60" s="20">
        <f>D27</f>
        <v/>
      </c>
      <c r="G60" s="25">
        <f>F60-INDEX(C60:E60,ScenarioSwitch)</f>
        <v/>
      </c>
    </row>
    <row r="61">
      <c r="B61" s="13" t="inlineStr">
        <is>
          <t>Year 3 closing cash</t>
        </is>
      </c>
      <c r="C61" s="19" t="n">
        <v>44288</v>
      </c>
      <c r="D61" s="19" t="n">
        <v>6279</v>
      </c>
      <c r="E61" s="19" t="n">
        <v>56232</v>
      </c>
      <c r="F61" s="20">
        <f>F27</f>
        <v/>
      </c>
      <c r="G61" s="25">
        <f>F61-INDEX(C61:E61,ScenarioSwitch)</f>
        <v/>
      </c>
    </row>
    <row r="62">
      <c r="B62" s="13" t="inlineStr">
        <is>
          <t>Date stored</t>
        </is>
      </c>
      <c r="C62" s="38" t="n">
        <v>46310</v>
      </c>
      <c r="D62" s="38" t="n">
        <v>46310</v>
      </c>
      <c r="E62" s="38" t="n">
        <v>46310</v>
      </c>
    </row>
    <row r="63">
      <c r="B63" s="35" t="inlineStr">
        <is>
          <t>Live minus stored shows 0 when the stored column for the active scenario is up to date. It is information only and not part of TotalCheck.</t>
        </is>
      </c>
    </row>
    <row r="64"/>
    <row r="65" ht="22" customHeight="1">
      <c r="A65" s="14" t="inlineStr">
        <is>
          <t>Investopia Academy · A platform by Erudite Africa Investments PLC · investopia.et</t>
        </is>
      </c>
      <c r="B65" s="15" t="n"/>
      <c r="C65" s="15" t="n"/>
      <c r="D65" s="15" t="n"/>
      <c r="E65" s="15" t="n"/>
      <c r="F65" s="15" t="n"/>
      <c r="G65" s="15" t="n"/>
    </row>
  </sheetData>
  <mergeCells count="3">
    <mergeCell ref="G34:G35"/>
    <mergeCell ref="B63:G63"/>
    <mergeCell ref="A65:G65"/>
  </mergeCells>
  <conditionalFormatting sqref="C36:F36">
    <cfRule type="expression" priority="1" dxfId="1">
      <formula>AND(ISNUMBER(C36),ABS(C36)&gt;0.005)</formula>
    </cfRule>
    <cfRule type="expression" priority="2" dxfId="0">
      <formula>AND(ISNUMBER(C36),ABS(C36)&lt;=0.005)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I38"/>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14" customWidth="1" min="3" max="3"/>
    <col width="14" customWidth="1" min="4" max="4"/>
    <col width="14" customWidth="1" min="5" max="5"/>
    <col width="14" customWidth="1" min="6" max="6"/>
    <col width="14" customWidth="1" min="7" max="7"/>
    <col width="14" customWidth="1" min="8" max="8"/>
    <col width="40" customWidth="1" min="9" max="9"/>
  </cols>
  <sheetData>
    <row r="1" ht="26" customHeight="1">
      <c r="A1" s="1" t="inlineStr">
        <is>
          <t>Loan and lease schedules (Birr thousand)</t>
        </is>
      </c>
      <c r="B1" s="2" t="n"/>
      <c r="C1" s="2" t="n"/>
      <c r="D1" s="2" t="n"/>
      <c r="E1" s="2" t="n"/>
      <c r="F1" s="2" t="n"/>
      <c r="G1" s="2" t="n"/>
      <c r="H1" s="2" t="n"/>
      <c r="I1" s="2" t="n"/>
    </row>
    <row r="2">
      <c r="A2" s="16" t="inlineStr">
        <is>
          <t>Interest = (opening balance + drawdown) x rate. Drawdowns are at the start of the year.</t>
        </is>
      </c>
    </row>
    <row r="3"/>
    <row r="4">
      <c r="B4" s="4" t="inlineStr">
        <is>
          <t>Term loan (Bank A, TermRate, TermRepay a year)</t>
        </is>
      </c>
    </row>
    <row r="5" ht="30" customHeight="1">
      <c r="B5" s="11" t="inlineStr">
        <is>
          <t>Year</t>
        </is>
      </c>
      <c r="C5" s="11" t="inlineStr">
        <is>
          <t>Opening balance</t>
        </is>
      </c>
      <c r="D5" s="11" t="inlineStr">
        <is>
          <t>Drawdown</t>
        </is>
      </c>
      <c r="E5" s="11" t="inlineStr">
        <is>
          <t>Interest</t>
        </is>
      </c>
      <c r="F5" s="11" t="inlineStr">
        <is>
          <t>Principal</t>
        </is>
      </c>
      <c r="G5" s="11" t="inlineStr">
        <is>
          <t>Payment</t>
        </is>
      </c>
      <c r="H5" s="11" t="inlineStr">
        <is>
          <t>Closing balance</t>
        </is>
      </c>
    </row>
    <row r="6">
      <c r="B6" s="39" t="n">
        <v>1</v>
      </c>
      <c r="C6" s="25">
        <f>TermOpen</f>
        <v/>
      </c>
      <c r="D6" s="19" t="n">
        <v>0</v>
      </c>
      <c r="E6" s="25">
        <f>ROUND((C6+D6)*TermRate,0)</f>
        <v/>
      </c>
      <c r="F6" s="25">
        <f>MIN(C6+D6,TermRepay)</f>
        <v/>
      </c>
      <c r="G6" s="25">
        <f>E6+F6</f>
        <v/>
      </c>
      <c r="H6" s="20">
        <f>C6+D6-F6</f>
        <v/>
      </c>
    </row>
    <row r="7">
      <c r="B7" s="39" t="n">
        <v>2</v>
      </c>
      <c r="C7" s="25">
        <f>H6</f>
        <v/>
      </c>
      <c r="D7" s="19" t="n">
        <v>0</v>
      </c>
      <c r="E7" s="25">
        <f>ROUND((C7+D7)*TermRate,0)</f>
        <v/>
      </c>
      <c r="F7" s="25">
        <f>MIN(C7+D7,TermRepay)</f>
        <v/>
      </c>
      <c r="G7" s="25">
        <f>E7+F7</f>
        <v/>
      </c>
      <c r="H7" s="20">
        <f>C7+D7-F7</f>
        <v/>
      </c>
    </row>
    <row r="8">
      <c r="B8" s="39" t="n">
        <v>3</v>
      </c>
      <c r="C8" s="25">
        <f>H7</f>
        <v/>
      </c>
      <c r="D8" s="19" t="n">
        <v>0</v>
      </c>
      <c r="E8" s="25">
        <f>ROUND((C8+D8)*TermRate,0)</f>
        <v/>
      </c>
      <c r="F8" s="25">
        <f>MIN(C8+D8,TermRepay)</f>
        <v/>
      </c>
      <c r="G8" s="25">
        <f>E8+F8</f>
        <v/>
      </c>
      <c r="H8" s="20">
        <f>C8+D8-F8</f>
        <v/>
      </c>
    </row>
    <row r="9"/>
    <row r="10">
      <c r="B10" s="4" t="inlineStr">
        <is>
          <t>Overdraft (Bank A, ODRate; balance held constant)</t>
        </is>
      </c>
    </row>
    <row r="11" ht="33" customHeight="1">
      <c r="B11" s="11" t="inlineStr">
        <is>
          <t>Year</t>
        </is>
      </c>
      <c r="C11" s="11" t="inlineStr">
        <is>
          <t>Opening balance</t>
        </is>
      </c>
      <c r="D11" s="11" t="inlineStr">
        <is>
          <t>Drawn / (repaid)</t>
        </is>
      </c>
      <c r="E11" s="11" t="inlineStr">
        <is>
          <t>Interest</t>
        </is>
      </c>
      <c r="F11" s="11" t="inlineStr">
        <is>
          <t>Principal</t>
        </is>
      </c>
      <c r="G11" s="11" t="inlineStr">
        <is>
          <t>Payment</t>
        </is>
      </c>
      <c r="H11" s="11" t="inlineStr">
        <is>
          <t>Closing balance</t>
        </is>
      </c>
    </row>
    <row r="12">
      <c r="B12" s="39" t="n">
        <v>1</v>
      </c>
      <c r="C12" s="25">
        <f>ODBal</f>
        <v/>
      </c>
      <c r="D12" s="19" t="n">
        <v>0</v>
      </c>
      <c r="E12" s="25">
        <f>ROUND((C12+D12)*ODRate,0)</f>
        <v/>
      </c>
      <c r="F12" s="25">
        <f>0</f>
        <v/>
      </c>
      <c r="G12" s="25">
        <f>E12+F12</f>
        <v/>
      </c>
      <c r="H12" s="20">
        <f>C12+D12-F12</f>
        <v/>
      </c>
    </row>
    <row r="13">
      <c r="B13" s="39" t="n">
        <v>2</v>
      </c>
      <c r="C13" s="25">
        <f>H12</f>
        <v/>
      </c>
      <c r="D13" s="19" t="n">
        <v>0</v>
      </c>
      <c r="E13" s="25">
        <f>ROUND((C13+D13)*ODRate,0)</f>
        <v/>
      </c>
      <c r="F13" s="25">
        <f>0</f>
        <v/>
      </c>
      <c r="G13" s="25">
        <f>E13+F13</f>
        <v/>
      </c>
      <c r="H13" s="20">
        <f>C13+D13-F13</f>
        <v/>
      </c>
    </row>
    <row r="14">
      <c r="B14" s="39" t="n">
        <v>3</v>
      </c>
      <c r="C14" s="25">
        <f>H13</f>
        <v/>
      </c>
      <c r="D14" s="19" t="n">
        <v>0</v>
      </c>
      <c r="E14" s="25">
        <f>ROUND((C14+D14)*ODRate,0)</f>
        <v/>
      </c>
      <c r="F14" s="25">
        <f>0</f>
        <v/>
      </c>
      <c r="G14" s="25">
        <f>E14+F14</f>
        <v/>
      </c>
      <c r="H14" s="20">
        <f>C14+D14-F14</f>
        <v/>
      </c>
    </row>
    <row r="15"/>
    <row r="16">
      <c r="B16" s="4" t="inlineStr">
        <is>
          <t>Lease (hire purchase, Entoto Capital Goods Leasing S.C.; LeaseAmt at LeaseRate over LeaseTerm)</t>
        </is>
      </c>
    </row>
    <row r="17">
      <c r="B17" s="5" t="inlineStr">
        <is>
          <t>Repayment type</t>
        </is>
      </c>
      <c r="C17" s="40" t="inlineStr">
        <is>
          <t>Equal principal</t>
        </is>
      </c>
      <c r="D17" s="41" t="n"/>
      <c r="E17" s="35" t="inlineStr">
        <is>
          <t>Default: Equal principal (the signed lease).</t>
        </is>
      </c>
    </row>
    <row r="18">
      <c r="B18" s="5" t="inlineStr">
        <is>
          <t>Grace years (zero principal)</t>
        </is>
      </c>
      <c r="C18" s="26" t="n">
        <v>0</v>
      </c>
    </row>
    <row r="19" ht="33" customHeight="1">
      <c r="B19" s="5" t="inlineStr">
        <is>
          <t>Annuity payment if chosen</t>
        </is>
      </c>
      <c r="C19" s="25">
        <f>ROUND(PMT(LeaseRate,LeaseTerm-C18,-LeaseAmt),0)</f>
        <v/>
      </c>
      <c r="E19" s="35" t="inlineStr">
        <is>
          <t>Formula: PMT(LeaseRate, LeaseTerm minus grace, -LeaseAmt); principal = payment minus interest.</t>
        </is>
      </c>
    </row>
    <row r="20"/>
    <row r="21" ht="30" customHeight="1">
      <c r="B21" s="11" t="inlineStr">
        <is>
          <t>Year</t>
        </is>
      </c>
      <c r="C21" s="11" t="inlineStr">
        <is>
          <t>Opening balance</t>
        </is>
      </c>
      <c r="D21" s="11" t="inlineStr">
        <is>
          <t>Drawdown</t>
        </is>
      </c>
      <c r="E21" s="11" t="inlineStr">
        <is>
          <t>Interest</t>
        </is>
      </c>
      <c r="F21" s="11" t="inlineStr">
        <is>
          <t>Principal</t>
        </is>
      </c>
      <c r="G21" s="11" t="inlineStr">
        <is>
          <t>Payment</t>
        </is>
      </c>
      <c r="H21" s="11" t="inlineStr">
        <is>
          <t>Closing balance</t>
        </is>
      </c>
    </row>
    <row r="22" ht="33" customHeight="1">
      <c r="B22" s="39" t="n">
        <v>1</v>
      </c>
      <c r="C22" s="25">
        <f>0</f>
        <v/>
      </c>
      <c r="D22" s="25">
        <f>LeaseAmt</f>
        <v/>
      </c>
      <c r="E22" s="25">
        <f>ROUND((C22+D22)*LeaseRate,0)</f>
        <v/>
      </c>
      <c r="F22" s="25">
        <f>IF(B22&lt;=$C$18,0,IF(B22&gt;=LeaseTerm,C22+D22,IF($C$17="Annuity",MIN(C22+D22,$C$19-E22),MIN(C22+D22,ROUND(LeaseAmt/(LeaseTerm-$C$18),0)))))</f>
        <v/>
      </c>
      <c r="G22" s="25">
        <f>E22+F22</f>
        <v/>
      </c>
      <c r="H22" s="20">
        <f>C22+D22-F22</f>
        <v/>
      </c>
      <c r="I22" s="35" t="inlineStr">
        <is>
          <t>Year 1: the 24,000 drawdown at the start of the year is the opening balance for interest.</t>
        </is>
      </c>
    </row>
    <row r="23">
      <c r="B23" s="39" t="n">
        <v>2</v>
      </c>
      <c r="C23" s="25">
        <f>H22</f>
        <v/>
      </c>
      <c r="D23" s="25">
        <f>0</f>
        <v/>
      </c>
      <c r="E23" s="25">
        <f>ROUND((C23+D23)*LeaseRate,0)</f>
        <v/>
      </c>
      <c r="F23" s="25">
        <f>IF(B23&lt;=$C$18,0,IF(B23&gt;=LeaseTerm,C23+D23,IF($C$17="Annuity",MIN(C23+D23,$C$19-E23),MIN(C23+D23,ROUND(LeaseAmt/(LeaseTerm-$C$18),0)))))</f>
        <v/>
      </c>
      <c r="G23" s="25">
        <f>E23+F23</f>
        <v/>
      </c>
      <c r="H23" s="20">
        <f>C23+D23-F23</f>
        <v/>
      </c>
    </row>
    <row r="24">
      <c r="B24" s="39" t="n">
        <v>3</v>
      </c>
      <c r="C24" s="25">
        <f>H23</f>
        <v/>
      </c>
      <c r="D24" s="25">
        <f>0</f>
        <v/>
      </c>
      <c r="E24" s="25">
        <f>ROUND((C24+D24)*LeaseRate,0)</f>
        <v/>
      </c>
      <c r="F24" s="25">
        <f>IF(B24&lt;=$C$18,0,IF(B24&gt;=LeaseTerm,C24+D24,IF($C$17="Annuity",MIN(C24+D24,$C$19-E24),MIN(C24+D24,ROUND(LeaseAmt/(LeaseTerm-$C$18),0)))))</f>
        <v/>
      </c>
      <c r="G24" s="25">
        <f>E24+F24</f>
        <v/>
      </c>
      <c r="H24" s="20">
        <f>C24+D24-F24</f>
        <v/>
      </c>
    </row>
    <row r="25">
      <c r="B25" s="39" t="n">
        <v>4</v>
      </c>
      <c r="C25" s="25">
        <f>H24</f>
        <v/>
      </c>
      <c r="D25" s="25">
        <f>0</f>
        <v/>
      </c>
      <c r="E25" s="25">
        <f>ROUND((C25+D25)*LeaseRate,0)</f>
        <v/>
      </c>
      <c r="F25" s="25">
        <f>IF(B25&lt;=$C$18,0,IF(B25&gt;=LeaseTerm,C25+D25,IF($C$17="Annuity",MIN(C25+D25,$C$19-E25),MIN(C25+D25,ROUND(LeaseAmt/(LeaseTerm-$C$18),0)))))</f>
        <v/>
      </c>
      <c r="G25" s="25">
        <f>E25+F25</f>
        <v/>
      </c>
      <c r="H25" s="20">
        <f>C25+D25-F25</f>
        <v/>
      </c>
    </row>
    <row r="26">
      <c r="B26" s="39" t="n">
        <v>5</v>
      </c>
      <c r="C26" s="25">
        <f>H25</f>
        <v/>
      </c>
      <c r="D26" s="25">
        <f>0</f>
        <v/>
      </c>
      <c r="E26" s="25">
        <f>ROUND((C26+D26)*LeaseRate,0)</f>
        <v/>
      </c>
      <c r="F26" s="25">
        <f>IF(B26&lt;=$C$18,0,IF(B26&gt;=LeaseTerm,C26+D26,IF($C$17="Annuity",MIN(C26+D26,$C$19-E26),MIN(C26+D26,ROUND(LeaseAmt/(LeaseTerm-$C$18),0)))))</f>
        <v/>
      </c>
      <c r="G26" s="25">
        <f>E26+F26</f>
        <v/>
      </c>
      <c r="H26" s="20">
        <f>C26+D26-F26</f>
        <v/>
      </c>
    </row>
    <row r="27">
      <c r="B27" s="5" t="inlineStr">
        <is>
          <t>Total</t>
        </is>
      </c>
      <c r="E27" s="20">
        <f>SUM(E22:E26)</f>
        <v/>
      </c>
      <c r="F27" s="20">
        <f>SUM(F22:F26)</f>
        <v/>
      </c>
      <c r="G27" s="20">
        <f>SUM(G22:G26)</f>
        <v/>
      </c>
    </row>
    <row r="28"/>
    <row r="29">
      <c r="B29" s="4" t="inlineStr">
        <is>
          <t>Debt service and current portion of debt</t>
        </is>
      </c>
    </row>
    <row r="30" ht="20" customHeight="1">
      <c r="B30" s="11" t="inlineStr">
        <is>
          <t>Item</t>
        </is>
      </c>
      <c r="C30" s="42" t="n"/>
      <c r="D30" s="11" t="inlineStr">
        <is>
          <t>Year 1</t>
        </is>
      </c>
      <c r="E30" s="11" t="inlineStr">
        <is>
          <t>Year 2</t>
        </is>
      </c>
      <c r="F30" s="11" t="inlineStr">
        <is>
          <t>Year 3</t>
        </is>
      </c>
    </row>
    <row r="31">
      <c r="B31" s="13" t="inlineStr">
        <is>
          <t>Interest, all debt</t>
        </is>
      </c>
      <c r="C31" s="12" t="n"/>
      <c r="D31" s="25">
        <f>E6+E12+E22</f>
        <v/>
      </c>
      <c r="E31" s="25">
        <f>E7+E13+E23</f>
        <v/>
      </c>
      <c r="F31" s="25">
        <f>E8+E14+E24</f>
        <v/>
      </c>
    </row>
    <row r="32" ht="33" customHeight="1">
      <c r="B32" s="13" t="inlineStr">
        <is>
          <t>Principal, all debt (overdraft principal 0)</t>
        </is>
      </c>
      <c r="C32" s="12" t="n"/>
      <c r="D32" s="25">
        <f>F6+F12+F22</f>
        <v/>
      </c>
      <c r="E32" s="25">
        <f>F7+F13+F23</f>
        <v/>
      </c>
      <c r="F32" s="25">
        <f>F8+F14+F24</f>
        <v/>
      </c>
    </row>
    <row r="33" ht="33" customHeight="1">
      <c r="B33" s="5" t="inlineStr">
        <is>
          <t>Debt service (interest + principal)</t>
        </is>
      </c>
      <c r="C33" s="12" t="n"/>
      <c r="D33" s="20">
        <f>D31+D32</f>
        <v/>
      </c>
      <c r="E33" s="20">
        <f>E31+E32</f>
        <v/>
      </c>
      <c r="F33" s="20">
        <f>F31+F32</f>
        <v/>
      </c>
    </row>
    <row r="34" ht="33" customHeight="1">
      <c r="B34" s="13" t="inlineStr">
        <is>
          <t>Current portion: term loan (next year's principal)</t>
        </is>
      </c>
      <c r="C34" s="12" t="n"/>
      <c r="D34" s="25">
        <f>MIN(H6,TermRepay)</f>
        <v/>
      </c>
      <c r="E34" s="25">
        <f>MIN(H7,TermRepay)</f>
        <v/>
      </c>
      <c r="F34" s="25">
        <f>MIN(H8,TermRepay)</f>
        <v/>
      </c>
    </row>
    <row r="35" ht="33" customHeight="1">
      <c r="B35" s="13" t="inlineStr">
        <is>
          <t>Current portion: lease (next year's principal)</t>
        </is>
      </c>
      <c r="C35" s="12" t="n"/>
      <c r="D35" s="25">
        <f>F23</f>
        <v/>
      </c>
      <c r="E35" s="25">
        <f>F24</f>
        <v/>
      </c>
      <c r="F35" s="25">
        <f>F25</f>
        <v/>
      </c>
    </row>
    <row r="36">
      <c r="B36" s="5" t="inlineStr">
        <is>
          <t>Current portion of debt, total</t>
        </is>
      </c>
      <c r="C36" s="12" t="n"/>
      <c r="D36" s="20">
        <f>D34+D35</f>
        <v/>
      </c>
      <c r="E36" s="20">
        <f>E34+E35</f>
        <v/>
      </c>
      <c r="F36" s="20">
        <f>F34+F35</f>
        <v/>
      </c>
    </row>
    <row r="37"/>
    <row r="38" ht="22" customHeight="1">
      <c r="A38" s="14" t="inlineStr">
        <is>
          <t>Investopia Academy · A platform by Erudite Africa Investments PLC · investopia.et</t>
        </is>
      </c>
      <c r="B38" s="15" t="n"/>
      <c r="C38" s="15" t="n"/>
      <c r="D38" s="15" t="n"/>
      <c r="E38" s="15" t="n"/>
      <c r="F38" s="15" t="n"/>
      <c r="G38" s="15" t="n"/>
      <c r="H38" s="15" t="n"/>
      <c r="I38" s="15" t="n"/>
    </row>
  </sheetData>
  <mergeCells count="4">
    <mergeCell ref="E19:H19"/>
    <mergeCell ref="C17:D17"/>
    <mergeCell ref="E17:H17"/>
    <mergeCell ref="A38:I38"/>
  </mergeCells>
  <dataValidations count="1">
    <dataValidation sqref="C17" showDropDown="0" showInputMessage="0" showErrorMessage="0" allowBlank="1" errorTitle="Invalid entry" error="Choose a value from the list." type="list">
      <formula1>"Equal principal,Annuity"</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J46"/>
  <sheetViews>
    <sheetView showGridLines="0" workbookViewId="0">
      <selection activeCell="A1" sqref="A1"/>
    </sheetView>
  </sheetViews>
  <sheetFormatPr baseColWidth="8" defaultRowHeight="15"/>
  <cols>
    <col width="2" customWidth="1" min="1" max="1"/>
    <col width="40" customWidth="1" min="2" max="2"/>
    <col width="13" customWidth="1" min="3" max="3"/>
    <col width="12" customWidth="1" min="4" max="4"/>
    <col width="12" customWidth="1" min="5" max="5"/>
    <col width="12" customWidth="1" min="6" max="6"/>
    <col width="14" customWidth="1" min="7" max="7"/>
    <col width="15" customWidth="1" min="8" max="8"/>
    <col width="12" customWidth="1" min="9" max="9"/>
    <col width="13" customWidth="1" min="10" max="10"/>
  </cols>
  <sheetData>
    <row r="1" ht="26" customHeight="1">
      <c r="A1" s="1" t="inlineStr">
        <is>
          <t>Lease vs buy: the Birr 30,000 thousand line (Birr thousand)</t>
        </is>
      </c>
      <c r="B1" s="2" t="n"/>
      <c r="C1" s="2" t="n"/>
      <c r="D1" s="2" t="n"/>
      <c r="E1" s="2" t="n"/>
      <c r="F1" s="2" t="n"/>
      <c r="G1" s="2" t="n"/>
      <c r="H1" s="2" t="n"/>
      <c r="I1" s="2" t="n"/>
      <c r="J1" s="2" t="n"/>
    </row>
    <row r="2">
      <c r="A2" s="16" t="inlineStr">
        <is>
          <t>After-tax cash cost of each option, discounted at the after-tax cost of borrowing.</t>
        </is>
      </c>
    </row>
    <row r="3"/>
    <row r="4">
      <c r="B4" s="4" t="inlineStr">
        <is>
          <t>Inputs</t>
        </is>
      </c>
    </row>
    <row r="5">
      <c r="B5" s="13" t="inlineStr">
        <is>
          <t>Asset cost</t>
        </is>
      </c>
      <c r="C5" s="25">
        <f>LineCost</f>
        <v/>
      </c>
    </row>
    <row r="6">
      <c r="B6" s="13" t="inlineStr">
        <is>
          <t>Tax rate</t>
        </is>
      </c>
      <c r="C6" s="30">
        <f>TaxRate</f>
        <v/>
      </c>
    </row>
    <row r="7">
      <c r="B7" s="13" t="inlineStr">
        <is>
          <t>Bank A loan rate</t>
        </is>
      </c>
      <c r="C7" s="30">
        <f>TermRate</f>
        <v/>
      </c>
    </row>
    <row r="8" ht="33" customHeight="1">
      <c r="B8" s="13" t="inlineStr">
        <is>
          <t>Discount rate = loan rate x (1 minus tax rate)</t>
        </is>
      </c>
      <c r="C8" s="30">
        <f>C7*(1-C6)</f>
        <v/>
      </c>
    </row>
    <row r="9">
      <c r="B9" s="13" t="inlineStr">
        <is>
          <t>Loan option: down payment %</t>
        </is>
      </c>
      <c r="C9" s="28" t="n">
        <v>0.3</v>
      </c>
    </row>
    <row r="10">
      <c r="B10" s="13" t="inlineStr">
        <is>
          <t>Loan option: term (years)</t>
        </is>
      </c>
      <c r="C10" s="26" t="n">
        <v>5</v>
      </c>
    </row>
    <row r="11">
      <c r="B11" s="13" t="inlineStr">
        <is>
          <t>Lease option: down payment (LeaseDown)</t>
        </is>
      </c>
      <c r="C11" s="25">
        <f>LeaseDown</f>
        <v/>
      </c>
    </row>
    <row r="12"/>
    <row r="13">
      <c r="B13" s="4" t="inlineStr">
        <is>
          <t>Option A: Bank A loan (equal principal)</t>
        </is>
      </c>
    </row>
    <row r="14" ht="33" customHeight="1">
      <c r="B14" s="11" t="inlineStr">
        <is>
          <t>Year</t>
        </is>
      </c>
      <c r="C14" s="11" t="inlineStr">
        <is>
          <t>Opening balance</t>
        </is>
      </c>
      <c r="D14" s="11" t="inlineStr">
        <is>
          <t>Interest</t>
        </is>
      </c>
      <c r="E14" s="11" t="inlineStr">
        <is>
          <t>Principal</t>
        </is>
      </c>
      <c r="F14" s="11" t="inlineStr">
        <is>
          <t>Payment</t>
        </is>
      </c>
      <c r="G14" s="11" t="inlineStr">
        <is>
          <t>Tax saving on interest</t>
        </is>
      </c>
      <c r="H14" s="11" t="inlineStr">
        <is>
          <t>Net after-tax cash cost</t>
        </is>
      </c>
      <c r="I14" s="11" t="inlineStr">
        <is>
          <t>Discount factor</t>
        </is>
      </c>
      <c r="J14" s="11" t="inlineStr">
        <is>
          <t>Present value</t>
        </is>
      </c>
    </row>
    <row r="15">
      <c r="B15" s="34" t="inlineStr">
        <is>
          <t>0 (down payment)</t>
        </is>
      </c>
      <c r="C15" s="12" t="n"/>
      <c r="D15" s="12" t="n"/>
      <c r="E15" s="12" t="n"/>
      <c r="F15" s="25">
        <f>ROUND(C5*C9,0)</f>
        <v/>
      </c>
      <c r="G15" s="12" t="n"/>
      <c r="H15" s="25">
        <f>F15</f>
        <v/>
      </c>
      <c r="I15" s="43">
        <f>1</f>
        <v/>
      </c>
      <c r="J15" s="25">
        <f>H15*I15</f>
        <v/>
      </c>
    </row>
    <row r="16">
      <c r="B16" s="39" t="n">
        <v>1</v>
      </c>
      <c r="C16" s="25">
        <f>C5-F15</f>
        <v/>
      </c>
      <c r="D16" s="25">
        <f>ROUND(C16*$C$7,0)</f>
        <v/>
      </c>
      <c r="E16" s="25">
        <f>IF(B16=$C$10,C16,ROUND(($C$5-$F$15)/$C$10,0))</f>
        <v/>
      </c>
      <c r="F16" s="25">
        <f>D16+E16</f>
        <v/>
      </c>
      <c r="G16" s="44">
        <f>D16*$C$6</f>
        <v/>
      </c>
      <c r="H16" s="44">
        <f>F16-G16</f>
        <v/>
      </c>
      <c r="I16" s="43">
        <f>1/(1+$C$8)^B16</f>
        <v/>
      </c>
      <c r="J16" s="25">
        <f>H16*I16</f>
        <v/>
      </c>
    </row>
    <row r="17">
      <c r="B17" s="39" t="n">
        <v>2</v>
      </c>
      <c r="C17" s="25">
        <f>C16-E16</f>
        <v/>
      </c>
      <c r="D17" s="25">
        <f>ROUND(C17*$C$7,0)</f>
        <v/>
      </c>
      <c r="E17" s="25">
        <f>IF(B17=$C$10,C17,ROUND(($C$5-$F$15)/$C$10,0))</f>
        <v/>
      </c>
      <c r="F17" s="25">
        <f>D17+E17</f>
        <v/>
      </c>
      <c r="G17" s="44">
        <f>D17*$C$6</f>
        <v/>
      </c>
      <c r="H17" s="44">
        <f>F17-G17</f>
        <v/>
      </c>
      <c r="I17" s="43">
        <f>1/(1+$C$8)^B17</f>
        <v/>
      </c>
      <c r="J17" s="25">
        <f>H17*I17</f>
        <v/>
      </c>
    </row>
    <row r="18">
      <c r="B18" s="39" t="n">
        <v>3</v>
      </c>
      <c r="C18" s="25">
        <f>C17-E17</f>
        <v/>
      </c>
      <c r="D18" s="25">
        <f>ROUND(C18*$C$7,0)</f>
        <v/>
      </c>
      <c r="E18" s="25">
        <f>IF(B18=$C$10,C18,ROUND(($C$5-$F$15)/$C$10,0))</f>
        <v/>
      </c>
      <c r="F18" s="25">
        <f>D18+E18</f>
        <v/>
      </c>
      <c r="G18" s="44">
        <f>D18*$C$6</f>
        <v/>
      </c>
      <c r="H18" s="44">
        <f>F18-G18</f>
        <v/>
      </c>
      <c r="I18" s="43">
        <f>1/(1+$C$8)^B18</f>
        <v/>
      </c>
      <c r="J18" s="25">
        <f>H18*I18</f>
        <v/>
      </c>
    </row>
    <row r="19">
      <c r="B19" s="39" t="n">
        <v>4</v>
      </c>
      <c r="C19" s="25">
        <f>C18-E18</f>
        <v/>
      </c>
      <c r="D19" s="25">
        <f>ROUND(C19*$C$7,0)</f>
        <v/>
      </c>
      <c r="E19" s="25">
        <f>IF(B19=$C$10,C19,ROUND(($C$5-$F$15)/$C$10,0))</f>
        <v/>
      </c>
      <c r="F19" s="25">
        <f>D19+E19</f>
        <v/>
      </c>
      <c r="G19" s="44">
        <f>D19*$C$6</f>
        <v/>
      </c>
      <c r="H19" s="44">
        <f>F19-G19</f>
        <v/>
      </c>
      <c r="I19" s="43">
        <f>1/(1+$C$8)^B19</f>
        <v/>
      </c>
      <c r="J19" s="25">
        <f>H19*I19</f>
        <v/>
      </c>
    </row>
    <row r="20">
      <c r="B20" s="39" t="n">
        <v>5</v>
      </c>
      <c r="C20" s="25">
        <f>C19-E19</f>
        <v/>
      </c>
      <c r="D20" s="25">
        <f>ROUND(C20*$C$7,0)</f>
        <v/>
      </c>
      <c r="E20" s="25">
        <f>IF(B20=$C$10,C20,ROUND(($C$5-$F$15)/$C$10,0))</f>
        <v/>
      </c>
      <c r="F20" s="25">
        <f>D20+E20</f>
        <v/>
      </c>
      <c r="G20" s="44">
        <f>D20*$C$6</f>
        <v/>
      </c>
      <c r="H20" s="44">
        <f>F20-G20</f>
        <v/>
      </c>
      <c r="I20" s="43">
        <f>1/(1+$C$8)^B20</f>
        <v/>
      </c>
      <c r="J20" s="25">
        <f>H20*I20</f>
        <v/>
      </c>
    </row>
    <row r="21">
      <c r="B21" s="5" t="inlineStr">
        <is>
          <t>Total</t>
        </is>
      </c>
      <c r="D21" s="20">
        <f>SUM(D16:D20)</f>
        <v/>
      </c>
      <c r="E21" s="20">
        <f>SUM(E16:E20)</f>
        <v/>
      </c>
      <c r="F21" s="20">
        <f>SUM(F16:F20)</f>
        <v/>
      </c>
      <c r="J21" s="20">
        <f>SUM(J15:J20)</f>
        <v/>
      </c>
    </row>
    <row r="22"/>
    <row r="23">
      <c r="B23" s="4" t="inlineStr">
        <is>
          <t>Option B: lease (equal principal, from the Loan and Lease sheet)</t>
        </is>
      </c>
    </row>
    <row r="24" ht="33" customHeight="1">
      <c r="B24" s="11" t="inlineStr">
        <is>
          <t>Year</t>
        </is>
      </c>
      <c r="C24" s="11" t="inlineStr">
        <is>
          <t>Opening balance</t>
        </is>
      </c>
      <c r="D24" s="11" t="inlineStr">
        <is>
          <t>Interest</t>
        </is>
      </c>
      <c r="E24" s="11" t="inlineStr">
        <is>
          <t>Principal</t>
        </is>
      </c>
      <c r="F24" s="11" t="inlineStr">
        <is>
          <t>Payment</t>
        </is>
      </c>
      <c r="G24" s="11" t="inlineStr">
        <is>
          <t>Tax saving on interest</t>
        </is>
      </c>
      <c r="H24" s="11" t="inlineStr">
        <is>
          <t>Net after-tax cash cost</t>
        </is>
      </c>
      <c r="I24" s="11" t="inlineStr">
        <is>
          <t>Discount factor</t>
        </is>
      </c>
      <c r="J24" s="11" t="inlineStr">
        <is>
          <t>Present value</t>
        </is>
      </c>
    </row>
    <row r="25">
      <c r="B25" s="34" t="inlineStr">
        <is>
          <t>0 (down payment)</t>
        </is>
      </c>
      <c r="C25" s="12" t="n"/>
      <c r="D25" s="12" t="n"/>
      <c r="E25" s="12" t="n"/>
      <c r="F25" s="25">
        <f>C11</f>
        <v/>
      </c>
      <c r="G25" s="12" t="n"/>
      <c r="H25" s="25">
        <f>F25</f>
        <v/>
      </c>
      <c r="I25" s="43">
        <f>1</f>
        <v/>
      </c>
      <c r="J25" s="25">
        <f>H25*I25</f>
        <v/>
      </c>
    </row>
    <row r="26">
      <c r="B26" s="39" t="n">
        <v>1</v>
      </c>
      <c r="C26" s="25">
        <f>'Loan and Lease'!C22+'Loan and Lease'!D22</f>
        <v/>
      </c>
      <c r="D26" s="25">
        <f>'Loan and Lease'!E22</f>
        <v/>
      </c>
      <c r="E26" s="25">
        <f>'Loan and Lease'!F22</f>
        <v/>
      </c>
      <c r="F26" s="25">
        <f>'Loan and Lease'!G22</f>
        <v/>
      </c>
      <c r="G26" s="44">
        <f>D26*$C$6</f>
        <v/>
      </c>
      <c r="H26" s="44">
        <f>F26-G26</f>
        <v/>
      </c>
      <c r="I26" s="43">
        <f>1/(1+$C$8)^B26</f>
        <v/>
      </c>
      <c r="J26" s="25">
        <f>H26*I26</f>
        <v/>
      </c>
    </row>
    <row r="27">
      <c r="B27" s="39" t="n">
        <v>2</v>
      </c>
      <c r="C27" s="25">
        <f>'Loan and Lease'!C23+'Loan and Lease'!D23</f>
        <v/>
      </c>
      <c r="D27" s="25">
        <f>'Loan and Lease'!E23</f>
        <v/>
      </c>
      <c r="E27" s="25">
        <f>'Loan and Lease'!F23</f>
        <v/>
      </c>
      <c r="F27" s="25">
        <f>'Loan and Lease'!G23</f>
        <v/>
      </c>
      <c r="G27" s="44">
        <f>D27*$C$6</f>
        <v/>
      </c>
      <c r="H27" s="44">
        <f>F27-G27</f>
        <v/>
      </c>
      <c r="I27" s="43">
        <f>1/(1+$C$8)^B27</f>
        <v/>
      </c>
      <c r="J27" s="25">
        <f>H27*I27</f>
        <v/>
      </c>
    </row>
    <row r="28">
      <c r="B28" s="39" t="n">
        <v>3</v>
      </c>
      <c r="C28" s="25">
        <f>'Loan and Lease'!C24+'Loan and Lease'!D24</f>
        <v/>
      </c>
      <c r="D28" s="25">
        <f>'Loan and Lease'!E24</f>
        <v/>
      </c>
      <c r="E28" s="25">
        <f>'Loan and Lease'!F24</f>
        <v/>
      </c>
      <c r="F28" s="25">
        <f>'Loan and Lease'!G24</f>
        <v/>
      </c>
      <c r="G28" s="44">
        <f>D28*$C$6</f>
        <v/>
      </c>
      <c r="H28" s="44">
        <f>F28-G28</f>
        <v/>
      </c>
      <c r="I28" s="43">
        <f>1/(1+$C$8)^B28</f>
        <v/>
      </c>
      <c r="J28" s="25">
        <f>H28*I28</f>
        <v/>
      </c>
    </row>
    <row r="29">
      <c r="B29" s="39" t="n">
        <v>4</v>
      </c>
      <c r="C29" s="25">
        <f>'Loan and Lease'!C25+'Loan and Lease'!D25</f>
        <v/>
      </c>
      <c r="D29" s="25">
        <f>'Loan and Lease'!E25</f>
        <v/>
      </c>
      <c r="E29" s="25">
        <f>'Loan and Lease'!F25</f>
        <v/>
      </c>
      <c r="F29" s="25">
        <f>'Loan and Lease'!G25</f>
        <v/>
      </c>
      <c r="G29" s="44">
        <f>D29*$C$6</f>
        <v/>
      </c>
      <c r="H29" s="44">
        <f>F29-G29</f>
        <v/>
      </c>
      <c r="I29" s="43">
        <f>1/(1+$C$8)^B29</f>
        <v/>
      </c>
      <c r="J29" s="25">
        <f>H29*I29</f>
        <v/>
      </c>
    </row>
    <row r="30">
      <c r="B30" s="39" t="n">
        <v>5</v>
      </c>
      <c r="C30" s="25">
        <f>'Loan and Lease'!C26+'Loan and Lease'!D26</f>
        <v/>
      </c>
      <c r="D30" s="25">
        <f>'Loan and Lease'!E26</f>
        <v/>
      </c>
      <c r="E30" s="25">
        <f>'Loan and Lease'!F26</f>
        <v/>
      </c>
      <c r="F30" s="25">
        <f>'Loan and Lease'!G26</f>
        <v/>
      </c>
      <c r="G30" s="44">
        <f>D30*$C$6</f>
        <v/>
      </c>
      <c r="H30" s="44">
        <f>F30-G30</f>
        <v/>
      </c>
      <c r="I30" s="43">
        <f>1/(1+$C$8)^B30</f>
        <v/>
      </c>
      <c r="J30" s="25">
        <f>H30*I30</f>
        <v/>
      </c>
    </row>
    <row r="31">
      <c r="B31" s="5" t="inlineStr">
        <is>
          <t>Total</t>
        </is>
      </c>
      <c r="D31" s="20">
        <f>SUM(D26:D30)</f>
        <v/>
      </c>
      <c r="E31" s="20">
        <f>SUM(E26:E30)</f>
        <v/>
      </c>
      <c r="F31" s="20">
        <f>SUM(F26:F30)</f>
        <v/>
      </c>
      <c r="J31" s="20">
        <f>SUM(J25:J30)</f>
        <v/>
      </c>
    </row>
    <row r="32"/>
    <row r="33">
      <c r="B33" s="4" t="inlineStr">
        <is>
          <t>Results</t>
        </is>
      </c>
    </row>
    <row r="34" ht="33" customHeight="1">
      <c r="B34" s="5" t="inlineStr">
        <is>
          <t>PV of after-tax cost: loan (including down payment)</t>
        </is>
      </c>
      <c r="C34" s="20">
        <f>J21</f>
        <v/>
      </c>
    </row>
    <row r="35" ht="33" customHeight="1">
      <c r="B35" s="5" t="inlineStr">
        <is>
          <t>PV of after-tax cost: lease (including down payment)</t>
        </is>
      </c>
      <c r="C35" s="20">
        <f>J31</f>
        <v/>
      </c>
    </row>
    <row r="36">
      <c r="B36" s="5" t="inlineStr">
        <is>
          <t>Extra PV cost of the lease</t>
        </is>
      </c>
      <c r="C36" s="20">
        <f>C35-C34</f>
        <v/>
      </c>
    </row>
    <row r="37">
      <c r="B37" s="5" t="inlineStr">
        <is>
          <t>Extra cost as % of the loan's PV cost</t>
        </is>
      </c>
      <c r="C37" s="45">
        <f>IF(C34=0,0,C36/C34)</f>
        <v/>
      </c>
    </row>
    <row r="38">
      <c r="B38" s="5" t="inlineStr">
        <is>
          <t>Cash saved upfront with the lease</t>
        </is>
      </c>
      <c r="C38" s="20">
        <f>F15-F25</f>
        <v/>
      </c>
    </row>
    <row r="39">
      <c r="B39" s="13" t="inlineStr">
        <is>
          <t>Collateral</t>
        </is>
      </c>
      <c r="C39" s="40" t="inlineStr">
        <is>
          <t>Loan needs a mortgage on the warehouse; the lease is secured by the machine.</t>
        </is>
      </c>
    </row>
    <row r="40">
      <c r="B40" s="5" t="inlineStr">
        <is>
          <t>Decision</t>
        </is>
      </c>
      <c r="C40" s="40" t="inlineStr">
        <is>
          <t>Lease</t>
        </is>
      </c>
      <c r="D40" s="40" t="inlineStr">
        <is>
          <t>Lease chosen: small extra cost buys liquidity and frees the warehouse as security.</t>
        </is>
      </c>
    </row>
    <row r="41"/>
    <row r="42">
      <c r="B42" s="35" t="inlineStr">
        <is>
          <t>Depreciation is the same under both options (hire-purchase lessee claims depreciation) and is left out. The lease finance charge is assumed deductible like loan interest; confirm with a tax adviser. Check whether the VAT exemption on capital goods finance payments (Proclamation No. 103/1998 as amended by No. 807/2013, Art. 16(3)) still applies under VAT Proclamation No. 1341/2024.</t>
        </is>
      </c>
    </row>
    <row r="43"/>
    <row r="44"/>
    <row r="45"/>
    <row r="46" ht="22" customHeight="1">
      <c r="A46" s="14" t="inlineStr">
        <is>
          <t>Investopia Academy · A platform by Erudite Africa Investments PLC · investopia.et</t>
        </is>
      </c>
      <c r="B46" s="15" t="n"/>
      <c r="C46" s="15" t="n"/>
      <c r="D46" s="15" t="n"/>
      <c r="E46" s="15" t="n"/>
      <c r="F46" s="15" t="n"/>
      <c r="G46" s="15" t="n"/>
      <c r="H46" s="15" t="n"/>
      <c r="I46" s="15" t="n"/>
      <c r="J46" s="15" t="n"/>
    </row>
  </sheetData>
  <mergeCells count="4">
    <mergeCell ref="A46:J46"/>
    <mergeCell ref="D40:J40"/>
    <mergeCell ref="C39:J39"/>
    <mergeCell ref="B42:J44"/>
  </mergeCells>
  <dataValidations count="1">
    <dataValidation sqref="C40" showDropDown="0" showInputMessage="0" showErrorMessage="0" allowBlank="1" errorTitle="Invalid entry" error="Choose a value from the list." type="list">
      <formula1>"Lease,Loan"</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0F4C3A"/>
    <outlinePr summaryBelow="1" summaryRight="1"/>
    <pageSetUpPr fitToPage="1"/>
  </sheetPr>
  <dimension ref="A1:E43"/>
  <sheetViews>
    <sheetView showGridLines="0" workbookViewId="0">
      <selection activeCell="A1" sqref="A1"/>
    </sheetView>
  </sheetViews>
  <sheetFormatPr baseColWidth="8" defaultRowHeight="15"/>
  <cols>
    <col width="2" customWidth="1" min="1" max="1"/>
    <col width="62" customWidth="1" min="2" max="2"/>
    <col width="15" customWidth="1" min="3" max="3"/>
    <col width="52" customWidth="1" min="4" max="4"/>
    <col width="13" customWidth="1" min="5" max="5"/>
  </cols>
  <sheetData>
    <row r="1" ht="26" customHeight="1">
      <c r="A1" s="1" t="inlineStr">
        <is>
          <t>Valuation summary (Birr thousand unless stated)</t>
        </is>
      </c>
      <c r="B1" s="2" t="n"/>
      <c r="C1" s="2" t="n"/>
      <c r="D1" s="2" t="n"/>
      <c r="E1" s="2" t="n"/>
    </row>
    <row r="2">
      <c r="A2" s="16" t="inlineStr">
        <is>
          <t>Normalized EBITDA, multiples, the deal and implied multiples. Yellow cells are inputs.</t>
        </is>
      </c>
    </row>
    <row r="3"/>
    <row r="4">
      <c r="B4" s="4" t="inlineStr">
        <is>
          <t>Normalized EBITDA, Year 0</t>
        </is>
      </c>
    </row>
    <row r="5" ht="20" customHeight="1">
      <c r="B5" s="11" t="inlineStr">
        <is>
          <t>Adjustment</t>
        </is>
      </c>
      <c r="C5" s="11" t="inlineStr">
        <is>
          <t>Amount</t>
        </is>
      </c>
      <c r="D5" s="11" t="inlineStr">
        <is>
          <t>Evidence (document reference)</t>
        </is>
      </c>
      <c r="E5" s="11" t="inlineStr">
        <is>
          <t>Recurring?</t>
        </is>
      </c>
    </row>
    <row r="6">
      <c r="B6" s="5" t="inlineStr">
        <is>
          <t>Reported EBITDA FY2025/26</t>
        </is>
      </c>
      <c r="C6" s="25">
        <f>Statements!C11</f>
        <v/>
      </c>
      <c r="D6" s="13" t="inlineStr">
        <is>
          <t>Audited statements FY2025/26</t>
        </is>
      </c>
      <c r="E6" s="12" t="n"/>
    </row>
    <row r="7" ht="33" customHeight="1">
      <c r="B7" s="13" t="inlineStr">
        <is>
          <t>Add: managing director's personal vehicle and family costs paid by the company</t>
        </is>
      </c>
      <c r="C7" s="19" t="n">
        <v>900</v>
      </c>
      <c r="D7" s="40" t="inlineStr">
        <is>
          <t>Schedule of owner costs (Data Room 9)</t>
        </is>
      </c>
      <c r="E7" s="40" t="inlineStr">
        <is>
          <t>No</t>
        </is>
      </c>
    </row>
    <row r="8">
      <c r="B8" s="13" t="inlineStr">
        <is>
          <t>Add: one-off warehouse relocation</t>
        </is>
      </c>
      <c r="C8" s="19" t="n">
        <v>700</v>
      </c>
      <c r="D8" s="40" t="inlineStr">
        <is>
          <t>Relocation invoices (Data Room 9)</t>
        </is>
      </c>
      <c r="E8" s="40" t="inlineStr">
        <is>
          <t>No</t>
        </is>
      </c>
    </row>
    <row r="9">
      <c r="B9" s="13" t="inlineStr">
        <is>
          <t>Deduct: below-market related party rent (market 2,400 minus paid 800)</t>
        </is>
      </c>
      <c r="C9" s="19" t="n">
        <v>-1600</v>
      </c>
      <c r="D9" s="40" t="inlineStr">
        <is>
          <t>Rent agreement with the shareholder and market rent letter</t>
        </is>
      </c>
      <c r="E9" s="40" t="inlineStr">
        <is>
          <t>Yes</t>
        </is>
      </c>
    </row>
    <row r="10">
      <c r="B10" s="5" t="inlineStr">
        <is>
          <t>Normalized EBITDA</t>
        </is>
      </c>
      <c r="C10" s="20">
        <f>SUM(C6:C9)</f>
        <v/>
      </c>
      <c r="D10" s="13" t="n"/>
      <c r="E10" s="12" t="n"/>
    </row>
    <row r="11">
      <c r="B11" s="35" t="inlineStr">
        <is>
          <t>Not adjusted: annual trade fair costs (recurring) and foreign exchange losses on kraft paper (part of the business).</t>
        </is>
      </c>
    </row>
    <row r="12"/>
    <row r="13">
      <c r="B13" s="4" t="inlineStr">
        <is>
          <t>Enterprise and equity value range</t>
        </is>
      </c>
    </row>
    <row r="14">
      <c r="B14" s="13" t="inlineStr">
        <is>
          <t>EV/EBITDA multiple: low</t>
        </is>
      </c>
      <c r="C14" s="46" t="n">
        <v>4.5</v>
      </c>
    </row>
    <row r="15">
      <c r="B15" s="13" t="inlineStr">
        <is>
          <t>EV/EBITDA multiple: high</t>
        </is>
      </c>
      <c r="C15" s="46" t="n">
        <v>5.5</v>
      </c>
    </row>
    <row r="16">
      <c r="B16" s="13" t="inlineStr">
        <is>
          <t>Enterprise value: low</t>
        </is>
      </c>
      <c r="C16" s="25">
        <f>C10*C14</f>
        <v/>
      </c>
    </row>
    <row r="17">
      <c r="B17" s="13" t="inlineStr">
        <is>
          <t>Enterprise value: high</t>
        </is>
      </c>
      <c r="C17" s="25">
        <f>C10*C15</f>
        <v/>
      </c>
    </row>
    <row r="18">
      <c r="B18" s="13" t="inlineStr">
        <is>
          <t>Net debt, Year 0 (debt minus cash)</t>
        </is>
      </c>
      <c r="C18" s="25">
        <f>Statements!C30+Statements!C31+Statements!C32-Statements!C27</f>
        <v/>
      </c>
    </row>
    <row r="19">
      <c r="B19" s="5" t="inlineStr">
        <is>
          <t>Equity value: low</t>
        </is>
      </c>
      <c r="C19" s="25">
        <f>C16-C18</f>
        <v/>
      </c>
    </row>
    <row r="20">
      <c r="B20" s="5" t="inlineStr">
        <is>
          <t>Equity value: high</t>
        </is>
      </c>
      <c r="C20" s="25">
        <f>C17-C18</f>
        <v/>
      </c>
    </row>
    <row r="21"/>
    <row r="22">
      <c r="B22" s="4" t="inlineStr">
        <is>
          <t>The deal: Meridian Impact Fund</t>
        </is>
      </c>
    </row>
    <row r="23">
      <c r="B23" s="13" t="inlineStr">
        <is>
          <t>Agreed pre-money value</t>
        </is>
      </c>
      <c r="C23" s="19" t="n">
        <v>80000</v>
      </c>
    </row>
    <row r="24">
      <c r="B24" s="13" t="inlineStr">
        <is>
          <t>Investment (EquityIn)</t>
        </is>
      </c>
      <c r="C24" s="25">
        <f>EquityIn</f>
        <v/>
      </c>
    </row>
    <row r="25">
      <c r="B25" s="13" t="inlineStr">
        <is>
          <t>Post-money value</t>
        </is>
      </c>
      <c r="C25" s="25">
        <f>C23+C24</f>
        <v/>
      </c>
    </row>
    <row r="26">
      <c r="B26" s="5" t="inlineStr">
        <is>
          <t>Investor stake = investment / post-money</t>
        </is>
      </c>
      <c r="C26" s="30">
        <f>C24/C25</f>
        <v/>
      </c>
    </row>
    <row r="27">
      <c r="B27" s="13" t="inlineStr">
        <is>
          <t>Existing shares</t>
        </is>
      </c>
      <c r="C27" s="29">
        <f>Assumptions!C25</f>
        <v/>
      </c>
    </row>
    <row r="28">
      <c r="B28" s="5" t="inlineStr">
        <is>
          <t>Price per share (Birr) = pre-money x 1000 / existing shares</t>
        </is>
      </c>
      <c r="C28" s="29">
        <f>C23*1000/C27</f>
        <v/>
      </c>
    </row>
    <row r="29">
      <c r="B29" s="13" t="inlineStr">
        <is>
          <t>New shares = investment x 1000 / price</t>
        </is>
      </c>
      <c r="C29" s="29">
        <f>C24*1000/C28</f>
        <v/>
      </c>
    </row>
    <row r="30">
      <c r="B30" s="13" t="inlineStr">
        <is>
          <t>Check: new shares / total shares</t>
        </is>
      </c>
      <c r="C30" s="30">
        <f>C29/(C27+C29)</f>
        <v/>
      </c>
    </row>
    <row r="31"/>
    <row r="32">
      <c r="B32" s="4" t="inlineStr">
        <is>
          <t>Implied multiples at the pre-money value</t>
        </is>
      </c>
    </row>
    <row r="33">
      <c r="B33" s="13" t="inlineStr">
        <is>
          <t>EV/EBITDA = (pre-money + net debt) / normalized EBITDA</t>
        </is>
      </c>
      <c r="C33" s="47">
        <f>(C23+C18)/C10</f>
        <v/>
      </c>
    </row>
    <row r="34">
      <c r="B34" s="13" t="inlineStr">
        <is>
          <t>P/E = pre-money / Year 0 net profit</t>
        </is>
      </c>
      <c r="C34" s="48">
        <f>C23/Statements!C21</f>
        <v/>
      </c>
    </row>
    <row r="35">
      <c r="B35" s="13" t="inlineStr">
        <is>
          <t>Price to book = pre-money / Year 0 equity</t>
        </is>
      </c>
      <c r="C35" s="47">
        <f>C23/Statements!C34</f>
        <v/>
      </c>
    </row>
    <row r="36"/>
    <row r="37">
      <c r="B37" s="4" t="inlineStr">
        <is>
          <t>Quick check for offers quoted post-money</t>
        </is>
      </c>
    </row>
    <row r="38">
      <c r="B38" s="13" t="inlineStr">
        <is>
          <t>Investment offered</t>
        </is>
      </c>
      <c r="C38" s="19" t="n">
        <v>20000</v>
      </c>
    </row>
    <row r="39">
      <c r="B39" s="13" t="inlineStr">
        <is>
          <t>Stake asked, post-money</t>
        </is>
      </c>
      <c r="C39" s="22" t="n">
        <v>0.25</v>
      </c>
    </row>
    <row r="40">
      <c r="B40" s="5" t="inlineStr">
        <is>
          <t>Implied post-money value = investment / stake</t>
        </is>
      </c>
      <c r="C40" s="20">
        <f>IF(C39=0,0,C38/C39)</f>
        <v/>
      </c>
    </row>
    <row r="41">
      <c r="B41" s="5" t="inlineStr">
        <is>
          <t>Implied pre-money value = post-money minus investment</t>
        </is>
      </c>
      <c r="C41" s="20">
        <f>C40-C38</f>
        <v/>
      </c>
    </row>
    <row r="42"/>
    <row r="43" ht="22" customHeight="1">
      <c r="A43" s="14" t="inlineStr">
        <is>
          <t>Investopia Academy · A platform by Erudite Africa Investments PLC · investopia.et</t>
        </is>
      </c>
      <c r="B43" s="15" t="n"/>
      <c r="C43" s="15" t="n"/>
      <c r="D43" s="15" t="n"/>
      <c r="E43" s="15" t="n"/>
    </row>
  </sheetData>
  <mergeCells count="2">
    <mergeCell ref="B11:E11"/>
    <mergeCell ref="A43:E43"/>
  </mergeCells>
  <dataValidations count="3">
    <dataValidation sqref="E7" showDropDown="0" showInputMessage="0" showErrorMessage="0" allowBlank="1" errorTitle="Invalid entry" error="Choose a value from the list." type="list">
      <formula1>"Yes,No"</formula1>
    </dataValidation>
    <dataValidation sqref="E8" showDropDown="0" showInputMessage="0" showErrorMessage="0" allowBlank="1" errorTitle="Invalid entry" error="Choose a value from the list." type="list">
      <formula1>"Yes,No"</formula1>
    </dataValidation>
    <dataValidation sqref="E9"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7.xml><?xml version="1.0" encoding="utf-8"?>
<worksheet xmlns="http://schemas.openxmlformats.org/spreadsheetml/2006/main">
  <sheetPr>
    <tabColor rgb="000F4C3A"/>
    <outlinePr summaryBelow="1" summaryRight="1"/>
    <pageSetUpPr fitToPage="1"/>
  </sheetPr>
  <dimension ref="A1:V44"/>
  <sheetViews>
    <sheetView showGridLines="0" workbookViewId="0">
      <selection activeCell="A1" sqref="A1"/>
    </sheetView>
  </sheetViews>
  <sheetFormatPr baseColWidth="8" defaultRowHeight="15"/>
  <cols>
    <col width="2" customWidth="1" min="1" max="1"/>
    <col width="34" customWidth="1" min="2" max="2"/>
    <col width="11" customWidth="1" min="3" max="3"/>
    <col width="11" customWidth="1" min="4" max="4"/>
    <col width="11" customWidth="1" min="5" max="5"/>
    <col width="11" customWidth="1" min="6" max="6"/>
    <col width="30" customWidth="1" min="7" max="7"/>
    <col width="12" customWidth="1" min="8" max="8"/>
    <col width="10" customWidth="1" min="9" max="9"/>
    <col width="2"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hidden="1" width="4" customWidth="1" min="20" max="20"/>
    <col hidden="1" width="8" customWidth="1" min="21" max="21"/>
    <col hidden="1" width="8" customWidth="1" min="22" max="22"/>
  </cols>
  <sheetData>
    <row r="1" ht="26" customHeight="1">
      <c r="A1" s="1" t="inlineStr">
        <is>
          <t>KPI dashboard</t>
        </is>
      </c>
      <c r="B1" s="2" t="n"/>
      <c r="C1" s="2" t="n"/>
      <c r="D1" s="2" t="n"/>
      <c r="E1" s="2" t="n"/>
      <c r="F1" s="2" t="n"/>
      <c r="G1" s="2" t="n"/>
      <c r="H1" s="2" t="n"/>
      <c r="I1" s="2" t="n"/>
      <c r="J1" s="2" t="n"/>
      <c r="K1" s="2" t="n"/>
      <c r="L1" s="2" t="n"/>
      <c r="M1" s="2" t="n"/>
      <c r="N1" s="2" t="n"/>
      <c r="O1" s="2" t="n"/>
      <c r="P1" s="2" t="n"/>
      <c r="Q1" s="2" t="n"/>
      <c r="R1" s="2" t="n"/>
    </row>
    <row r="2" ht="33" customHeight="1">
      <c r="B2" s="5" t="inlineStr">
        <is>
          <t>Scenario</t>
        </is>
      </c>
      <c r="C2" s="49">
        <f>Assumptions!D4</f>
        <v/>
      </c>
      <c r="E2" s="5" t="inlineStr">
        <is>
          <t>Overall check</t>
        </is>
      </c>
      <c r="F2" s="49">
        <f>IF(TotalCheck=0,"All checks OK","Fix checks before sending")</f>
        <v/>
      </c>
    </row>
    <row r="3"/>
    <row r="4" ht="33" customHeight="1">
      <c r="B4" s="11" t="inlineStr">
        <is>
          <t>KPI</t>
        </is>
      </c>
      <c r="C4" s="11" t="inlineStr">
        <is>
          <t>Year 0</t>
        </is>
      </c>
      <c r="D4" s="11" t="inlineStr">
        <is>
          <t>Year 1</t>
        </is>
      </c>
      <c r="E4" s="11" t="inlineStr">
        <is>
          <t>Year 2</t>
        </is>
      </c>
      <c r="F4" s="11" t="inlineStr">
        <is>
          <t>Year 3</t>
        </is>
      </c>
      <c r="G4" s="11" t="inlineStr">
        <is>
          <t>Target / threshold</t>
        </is>
      </c>
      <c r="H4" s="11" t="inlineStr">
        <is>
          <t>Status (Year 1)</t>
        </is>
      </c>
      <c r="I4" s="11" t="inlineStr">
        <is>
          <t>Trend (Y1 to Y3)</t>
        </is>
      </c>
    </row>
    <row r="5">
      <c r="B5" s="13" t="inlineStr">
        <is>
          <t>Revenue growth</t>
        </is>
      </c>
      <c r="C5" s="50">
        <f>"n/a"</f>
        <v/>
      </c>
      <c r="D5" s="30">
        <f>Statements!D6/Statements!C6-1</f>
        <v/>
      </c>
      <c r="E5" s="30">
        <f>Statements!E6/Statements!D6-1</f>
        <v/>
      </c>
      <c r="F5" s="30">
        <f>Statements!F6/Statements!E6-1</f>
        <v/>
      </c>
      <c r="G5" s="51" t="n"/>
      <c r="H5" s="12" t="n"/>
      <c r="I5" s="34">
        <f>IF(F5&gt;D5,"Up",IF(F5&lt;D5,"Down","Flat"))</f>
        <v/>
      </c>
    </row>
    <row r="6">
      <c r="B6" s="13" t="inlineStr">
        <is>
          <t>Gross margin</t>
        </is>
      </c>
      <c r="C6" s="50">
        <f>Statements!C9</f>
        <v/>
      </c>
      <c r="D6" s="30">
        <f>Statements!D9</f>
        <v/>
      </c>
      <c r="E6" s="30">
        <f>Statements!E9</f>
        <v/>
      </c>
      <c r="F6" s="30">
        <f>Statements!F9</f>
        <v/>
      </c>
      <c r="G6" s="51" t="inlineStr">
        <is>
          <t>at least 34%</t>
        </is>
      </c>
      <c r="H6" s="52">
        <f>IF($T6="H",IF(D6&gt;=$U6,"Green",IF(D6&gt;=$V6,"Amber","Red")),IF(D6&lt;=$U6,"Green",IF(D6&lt;=$V6,"Amber","Red")))</f>
        <v/>
      </c>
      <c r="I6" s="34">
        <f>IF(ROUND(F6-D6,4)&gt;0,"Up",IF(ROUND(F6-D6,4)&lt;0,"Down","Flat"))</f>
        <v/>
      </c>
      <c r="T6" t="inlineStr">
        <is>
          <t>H</t>
        </is>
      </c>
      <c r="U6" t="n">
        <v>0.34</v>
      </c>
      <c r="V6" t="n">
        <v>0.306</v>
      </c>
    </row>
    <row r="7">
      <c r="B7" s="13" t="inlineStr">
        <is>
          <t>EBITDA margin</t>
        </is>
      </c>
      <c r="C7" s="50">
        <f>Statements!C12</f>
        <v/>
      </c>
      <c r="D7" s="30">
        <f>Statements!D12</f>
        <v/>
      </c>
      <c r="E7" s="30">
        <f>Statements!E12</f>
        <v/>
      </c>
      <c r="F7" s="30">
        <f>Statements!F12</f>
        <v/>
      </c>
      <c r="G7" s="51" t="inlineStr">
        <is>
          <t>at least 18%</t>
        </is>
      </c>
      <c r="H7" s="52">
        <f>IF($T7="H",IF(D7&gt;=$U7,"Green",IF(D7&gt;=$V7,"Amber","Red")),IF(D7&lt;=$U7,"Green",IF(D7&lt;=$V7,"Amber","Red")))</f>
        <v/>
      </c>
      <c r="I7" s="34">
        <f>IF(ROUND(F7-D7,4)&gt;0,"Up",IF(ROUND(F7-D7,4)&lt;0,"Down","Flat"))</f>
        <v/>
      </c>
      <c r="T7" t="inlineStr">
        <is>
          <t>H</t>
        </is>
      </c>
      <c r="U7" t="n">
        <v>0.18</v>
      </c>
      <c r="V7" t="n">
        <v>0.162</v>
      </c>
    </row>
    <row r="8">
      <c r="B8" s="13" t="inlineStr">
        <is>
          <t>Net margin</t>
        </is>
      </c>
      <c r="C8" s="50">
        <f>Statements!C21/Statements!C6</f>
        <v/>
      </c>
      <c r="D8" s="30">
        <f>Statements!D21/Statements!D6</f>
        <v/>
      </c>
      <c r="E8" s="30">
        <f>Statements!E21/Statements!E6</f>
        <v/>
      </c>
      <c r="F8" s="30">
        <f>Statements!F21/Statements!F6</f>
        <v/>
      </c>
      <c r="G8" s="51" t="n"/>
      <c r="H8" s="12" t="n"/>
      <c r="I8" s="34">
        <f>IF(ROUND(F8-D8,4)&gt;0,"Up",IF(ROUND(F8-D8,4)&lt;0,"Down","Flat"))</f>
        <v/>
      </c>
    </row>
    <row r="9">
      <c r="B9" s="13" t="inlineStr">
        <is>
          <t>Return on closing equity</t>
        </is>
      </c>
      <c r="C9" s="50">
        <f>Statements!C21/Statements!C34</f>
        <v/>
      </c>
      <c r="D9" s="30">
        <f>Statements!D21/Statements!D34</f>
        <v/>
      </c>
      <c r="E9" s="30">
        <f>Statements!E21/Statements!E34</f>
        <v/>
      </c>
      <c r="F9" s="30">
        <f>Statements!F21/Statements!F34</f>
        <v/>
      </c>
      <c r="G9" s="51" t="n"/>
      <c r="H9" s="12" t="n"/>
      <c r="I9" s="34">
        <f>IF(ROUND(F9-D9,4)&gt;0,"Up",IF(ROUND(F9-D9,4)&lt;0,"Down","Flat"))</f>
        <v/>
      </c>
    </row>
    <row r="10" ht="33" customHeight="1">
      <c r="B10" s="13" t="inlineStr">
        <is>
          <t>Receivable days (receivables / revenue x 365)</t>
        </is>
      </c>
      <c r="C10" s="53">
        <f>Statements!C26/Statements!C6*365</f>
        <v/>
      </c>
      <c r="D10" s="54">
        <f>Statements!D26/Statements!D6*365</f>
        <v/>
      </c>
      <c r="E10" s="54">
        <f>Statements!E26/Statements!E6*365</f>
        <v/>
      </c>
      <c r="F10" s="54">
        <f>Statements!F26/Statements!F6*365</f>
        <v/>
      </c>
      <c r="G10" s="51" t="n"/>
      <c r="H10" s="12" t="n"/>
      <c r="I10" s="34">
        <f>IF(ROUND(F10-D10,4)&gt;0,"Up",IF(ROUND(F10-D10,4)&lt;0,"Down","Flat"))</f>
        <v/>
      </c>
    </row>
    <row r="11" ht="33" customHeight="1">
      <c r="B11" s="13" t="inlineStr">
        <is>
          <t>Inventory days (inventory / cost of sales x 365)</t>
        </is>
      </c>
      <c r="C11" s="53">
        <f>Statements!C25/Statements!C7*365</f>
        <v/>
      </c>
      <c r="D11" s="54">
        <f>Statements!D25/Statements!D7*365</f>
        <v/>
      </c>
      <c r="E11" s="54">
        <f>Statements!E25/Statements!E7*365</f>
        <v/>
      </c>
      <c r="F11" s="54">
        <f>Statements!F25/Statements!F7*365</f>
        <v/>
      </c>
      <c r="G11" s="51" t="n"/>
      <c r="H11" s="12" t="n"/>
      <c r="I11" s="34">
        <f>IF(ROUND(F11-D11,4)&gt;0,"Up",IF(ROUND(F11-D11,4)&lt;0,"Down","Flat"))</f>
        <v/>
      </c>
    </row>
    <row r="12" ht="33" customHeight="1">
      <c r="B12" s="13" t="inlineStr">
        <is>
          <t>Payable days (payables / cost of sales x 365)</t>
        </is>
      </c>
      <c r="C12" s="53">
        <f>Statements!C29/Statements!C7*365</f>
        <v/>
      </c>
      <c r="D12" s="54">
        <f>Statements!D29/Statements!D7*365</f>
        <v/>
      </c>
      <c r="E12" s="54">
        <f>Statements!E29/Statements!E7*365</f>
        <v/>
      </c>
      <c r="F12" s="54">
        <f>Statements!F29/Statements!F7*365</f>
        <v/>
      </c>
      <c r="G12" s="51" t="n"/>
      <c r="H12" s="12" t="n"/>
      <c r="I12" s="34">
        <f>IF(ROUND(F12-D12,4)&gt;0,"Up",IF(ROUND(F12-D12,4)&lt;0,"Down","Flat"))</f>
        <v/>
      </c>
    </row>
    <row r="13">
      <c r="B13" s="13" t="inlineStr">
        <is>
          <t>Cash conversion cycle (days)</t>
        </is>
      </c>
      <c r="C13" s="53">
        <f>C10+C11-C12</f>
        <v/>
      </c>
      <c r="D13" s="54">
        <f>D10+D11-D12</f>
        <v/>
      </c>
      <c r="E13" s="54">
        <f>E10+E11-E12</f>
        <v/>
      </c>
      <c r="F13" s="54">
        <f>F10+F11-F12</f>
        <v/>
      </c>
      <c r="G13" s="51" t="n"/>
      <c r="H13" s="12" t="n"/>
      <c r="I13" s="34">
        <f>IF(ROUND(F13-D13,4)&gt;0,"Up",IF(ROUND(F13-D13,4)&lt;0,"Down","Flat"))</f>
        <v/>
      </c>
    </row>
    <row r="14">
      <c r="B14" s="13" t="inlineStr">
        <is>
          <t>Current ratio</t>
        </is>
      </c>
      <c r="C14" s="55">
        <f>(Statements!C25+Statements!C26+Statements!C27)/(Statements!C29+Statements!C31+MIN(Assumptions!C20,TermRepay))</f>
        <v/>
      </c>
      <c r="D14" s="37">
        <f>(Statements!D25+Statements!D26+Statements!D27)/(Statements!D29+Statements!D31+'Loan and Lease'!D36)</f>
        <v/>
      </c>
      <c r="E14" s="37">
        <f>(Statements!E25+Statements!E26+Statements!E27)/(Statements!E29+Statements!E31+'Loan and Lease'!E36)</f>
        <v/>
      </c>
      <c r="F14" s="37">
        <f>(Statements!F25+Statements!F26+Statements!F27)/(Statements!F29+Statements!F31+'Loan and Lease'!F36)</f>
        <v/>
      </c>
      <c r="G14" s="51" t="inlineStr">
        <is>
          <t>at least 1.5</t>
        </is>
      </c>
      <c r="H14" s="52">
        <f>IF($T14="H",IF(D14&gt;=$U14,"Green",IF(D14&gt;=$V14,"Amber","Red")),IF(D14&lt;=$U14,"Green",IF(D14&lt;=$V14,"Amber","Red")))</f>
        <v/>
      </c>
      <c r="I14" s="34">
        <f>IF(ROUND(F14-D14,4)&gt;0,"Up",IF(ROUND(F14-D14,4)&lt;0,"Down","Flat"))</f>
        <v/>
      </c>
      <c r="T14" t="inlineStr">
        <is>
          <t>H</t>
        </is>
      </c>
      <c r="U14" t="n">
        <v>1.5</v>
      </c>
      <c r="V14" t="n">
        <v>1.35</v>
      </c>
    </row>
    <row r="15">
      <c r="B15" s="13" t="inlineStr">
        <is>
          <t>Debt to equity</t>
        </is>
      </c>
      <c r="C15" s="55">
        <f>(Statements!C30+Statements!C31+Statements!C32)/Statements!C34</f>
        <v/>
      </c>
      <c r="D15" s="37">
        <f>(Statements!D30+Statements!D31+Statements!D32)/Statements!D34</f>
        <v/>
      </c>
      <c r="E15" s="37">
        <f>(Statements!E30+Statements!E31+Statements!E32)/Statements!E34</f>
        <v/>
      </c>
      <c r="F15" s="37">
        <f>(Statements!F30+Statements!F31+Statements!F32)/Statements!F34</f>
        <v/>
      </c>
      <c r="G15" s="51" t="inlineStr">
        <is>
          <t>at most 1.0</t>
        </is>
      </c>
      <c r="H15" s="52">
        <f>IF($T15="H",IF(D15&gt;=$U15,"Green",IF(D15&gt;=$V15,"Amber","Red")),IF(D15&lt;=$U15,"Green",IF(D15&lt;=$V15,"Amber","Red")))</f>
        <v/>
      </c>
      <c r="I15" s="34">
        <f>IF(ROUND(F15-D15,4)&gt;0,"Up",IF(ROUND(F15-D15,4)&lt;0,"Down","Flat"))</f>
        <v/>
      </c>
      <c r="T15" t="inlineStr">
        <is>
          <t>L</t>
        </is>
      </c>
      <c r="U15" t="n">
        <v>1</v>
      </c>
      <c r="V15" t="n">
        <v>1.1</v>
      </c>
    </row>
    <row r="16">
      <c r="B16" s="13" t="inlineStr">
        <is>
          <t>Interest cover (EBIT / interest)</t>
        </is>
      </c>
      <c r="C16" s="55">
        <f>Statements!C14/Statements!C15</f>
        <v/>
      </c>
      <c r="D16" s="37">
        <f>Statements!D14/Statements!D15</f>
        <v/>
      </c>
      <c r="E16" s="37">
        <f>Statements!E14/Statements!E15</f>
        <v/>
      </c>
      <c r="F16" s="37">
        <f>Statements!F14/Statements!F15</f>
        <v/>
      </c>
      <c r="G16" s="51" t="n"/>
      <c r="H16" s="12" t="n"/>
      <c r="I16" s="34">
        <f>IF(ROUND(F16-D16,4)&gt;0,"Up",IF(ROUND(F16-D16,4)&lt;0,"Down","Flat"))</f>
        <v/>
      </c>
    </row>
    <row r="17" ht="33" customHeight="1">
      <c r="B17" s="13" t="inlineStr">
        <is>
          <t>DSCR = (EBITDA minus income tax) / debt service</t>
        </is>
      </c>
      <c r="C17" s="55">
        <f>(Statements!C11-Statements!C19)/(Statements!C15+TermRepay)</f>
        <v/>
      </c>
      <c r="D17" s="37">
        <f>(Statements!D11-Statements!D19)/'Loan and Lease'!D33</f>
        <v/>
      </c>
      <c r="E17" s="37">
        <f>(Statements!E11-Statements!E19)/'Loan and Lease'!E33</f>
        <v/>
      </c>
      <c r="F17" s="37">
        <f>(Statements!F11-Statements!F19)/'Loan and Lease'!F33</f>
        <v/>
      </c>
      <c r="G17" s="51" t="inlineStr">
        <is>
          <t>covenant 1.25 (CovDSCR); green at least 1.5, amber 1.25 to 1.5, red below 1.25</t>
        </is>
      </c>
      <c r="H17" s="52">
        <f>IF($T17="H",IF(D17&gt;=$U17,"Green",IF(D17&gt;=$V17,"Amber","Red")),IF(D17&lt;=$U17,"Green",IF(D17&lt;=$V17,"Amber","Red")))</f>
        <v/>
      </c>
      <c r="I17" s="34">
        <f>IF(ROUND(F17-D17,4)&gt;0,"Up",IF(ROUND(F17-D17,4)&lt;0,"Down","Flat"))</f>
        <v/>
      </c>
      <c r="T17" t="inlineStr">
        <is>
          <t>H</t>
        </is>
      </c>
      <c r="U17" t="n">
        <v>1.5</v>
      </c>
      <c r="V17">
        <f>CovDSCR</f>
        <v/>
      </c>
    </row>
    <row r="18">
      <c r="B18" s="13" t="inlineStr">
        <is>
          <t>Closing cash</t>
        </is>
      </c>
      <c r="C18" s="56">
        <f>Statements!C27</f>
        <v/>
      </c>
      <c r="D18" s="25">
        <f>Statements!D27</f>
        <v/>
      </c>
      <c r="E18" s="25">
        <f>Statements!E27</f>
        <v/>
      </c>
      <c r="F18" s="25">
        <f>Statements!F27</f>
        <v/>
      </c>
      <c r="G18" s="51" t="n"/>
      <c r="H18" s="12" t="n"/>
      <c r="I18" s="34">
        <f>IF(ROUND(F18-D18,4)&gt;0,"Up",IF(ROUND(F18-D18,4)&lt;0,"Down","Flat"))</f>
        <v/>
      </c>
    </row>
    <row r="19" ht="33" customHeight="1">
      <c r="B19" s="13" t="inlineStr">
        <is>
          <t>Volume (tonnes) = revenue x 1000 / price</t>
        </is>
      </c>
      <c r="C19" s="57">
        <f>Assumptions!C27</f>
        <v/>
      </c>
      <c r="D19" s="29">
        <f>Statements!D6*1000/Assumptions!D85</f>
        <v/>
      </c>
      <c r="E19" s="29">
        <f>Statements!E6*1000/Assumptions!E85</f>
        <v/>
      </c>
      <c r="F19" s="29">
        <f>Statements!F6*1000/Assumptions!F85</f>
        <v/>
      </c>
      <c r="G19" s="51" t="n"/>
      <c r="H19" s="12" t="n"/>
      <c r="I19" s="34">
        <f>IF(ROUND(F19-D19,4)&gt;0,"Up",IF(ROUND(F19-D19,4)&lt;0,"Down","Flat"))</f>
        <v/>
      </c>
    </row>
    <row r="20">
      <c r="B20" s="13" t="inlineStr">
        <is>
          <t>Utilization (volume / capacity)</t>
        </is>
      </c>
      <c r="C20" s="50">
        <f>C19/Assumptions!C29</f>
        <v/>
      </c>
      <c r="D20" s="30">
        <f>D19/Assumptions!D86</f>
        <v/>
      </c>
      <c r="E20" s="30">
        <f>E19/Assumptions!E86</f>
        <v/>
      </c>
      <c r="F20" s="30">
        <f>F19/Assumptions!F86</f>
        <v/>
      </c>
      <c r="G20" s="51" t="inlineStr">
        <is>
          <t>practical ceiling 90%</t>
        </is>
      </c>
      <c r="H20" s="52">
        <f>IF($T20="H",IF(D20&gt;=$U20,"Green",IF(D20&gt;=$V20,"Amber","Red")),IF(D20&lt;=$U20,"Green",IF(D20&lt;=$V20,"Amber","Red")))</f>
        <v/>
      </c>
      <c r="I20" s="34">
        <f>IF(ROUND(F20-D20,4)&gt;0,"Up",IF(ROUND(F20-D20,4)&lt;0,"Down","Flat"))</f>
        <v/>
      </c>
      <c r="T20" t="inlineStr">
        <is>
          <t>L</t>
        </is>
      </c>
      <c r="U20" t="n">
        <v>0.9</v>
      </c>
      <c r="V20" t="n">
        <v>0.95</v>
      </c>
    </row>
    <row r="21">
      <c r="B21" s="58" t="inlineStr">
        <is>
          <t>DSCR covenant line (for the chart)</t>
        </is>
      </c>
      <c r="C21" s="37">
        <f>CovDSCR</f>
        <v/>
      </c>
      <c r="D21" s="37">
        <f>CovDSCR</f>
        <v/>
      </c>
      <c r="E21" s="37">
        <f>CovDSCR</f>
        <v/>
      </c>
      <c r="F21" s="37">
        <f>CovDSCR</f>
        <v/>
      </c>
    </row>
    <row r="22"/>
    <row r="23">
      <c r="B23" s="4" t="inlineStr">
        <is>
          <t>Covenant headroom, Year 1 (active scenario)</t>
        </is>
      </c>
    </row>
    <row r="24" ht="33" customHeight="1">
      <c r="B24" s="13" t="inlineStr">
        <is>
          <t>Cash available for debt service (EBITDA minus income tax)</t>
        </is>
      </c>
      <c r="C24" s="25">
        <f>Statements!D11-Statements!D19</f>
        <v/>
      </c>
    </row>
    <row r="25">
      <c r="B25" s="13" t="inlineStr">
        <is>
          <t>Debt service, Year 1</t>
        </is>
      </c>
      <c r="C25" s="25">
        <f>'Loan and Lease'!D33</f>
        <v/>
      </c>
    </row>
    <row r="26" ht="33" customHeight="1">
      <c r="B26" s="13" t="inlineStr">
        <is>
          <t>Cash available needed for the covenant (CovDSCR x debt service)</t>
        </is>
      </c>
      <c r="C26" s="25">
        <f>CovDSCR*C25</f>
        <v/>
      </c>
    </row>
    <row r="27">
      <c r="B27" s="5" t="inlineStr">
        <is>
          <t>Headroom</t>
        </is>
      </c>
      <c r="C27" s="20">
        <f>C24-C26</f>
        <v/>
      </c>
    </row>
    <row r="28">
      <c r="B28" s="13" t="inlineStr">
        <is>
          <t>Headroom as % of cash available</t>
        </is>
      </c>
      <c r="C28" s="30">
        <f>IF(C24=0,0,C27/C24)</f>
        <v/>
      </c>
    </row>
    <row r="29" ht="33" customHeight="1">
      <c r="B29" s="5" t="inlineStr">
        <is>
          <t>Break-even revenue for DSCR = CovDSCR (MAT range)</t>
        </is>
      </c>
      <c r="C29" s="20">
        <f>CovDSCR*C25/(Statements!D12-MATRate)</f>
        <v/>
      </c>
      <c r="D29" s="35" t="inlineStr">
        <is>
          <t>CovDSCR x debt service / (EBITDA margin minus MATRate). Valid while MAT applies; for an exact figure use Goal Seek on a copy (Data &gt; What-If Analysis &gt; Goal Seek).</t>
        </is>
      </c>
    </row>
    <row r="30"/>
    <row r="31">
      <c r="B31" s="4" t="inlineStr">
        <is>
          <t>Sensitivity: Year 1 DSCR (revenue change in rows, gross margin in columns; opex % held)</t>
        </is>
      </c>
    </row>
    <row r="32">
      <c r="B32" s="5" t="inlineStr">
        <is>
          <t>Revenue change / gross margin</t>
        </is>
      </c>
      <c r="C32" s="59" t="n">
        <v>0.32</v>
      </c>
      <c r="D32" s="59" t="n">
        <v>0.34</v>
      </c>
      <c r="E32" s="59" t="n">
        <v>0.36</v>
      </c>
      <c r="F32" s="35" t="inlineStr">
        <is>
          <t>Built with formulas (revenue = Year 1 revenue x (1 + change); opex at the active Year 1 %). Excel's Data &gt; What-If Analysis &gt; Data Table gives the same grid.</t>
        </is>
      </c>
    </row>
    <row r="33">
      <c r="B33" s="60" t="n">
        <v>-0.1</v>
      </c>
      <c r="C33" s="61">
        <f>((ROUND(Statements!$D$6*(1+$B33),0)-ROUND(ROUND(Statements!$D$6*(1+$B33),0)*(1-C$32),0)-ROUND(ROUND(Statements!$D$6*(1+$B33),0)*Assumptions!$D$45,0))-MAX(ROUND(MAX(0,((ROUND(Statements!$D$6*(1+$B33),0)-ROUND(ROUND(Statements!$D$6*(1+$B33),0)*(1-C$32),0)-ROUND(ROUND(Statements!$D$6*(1+$B33),0)*Assumptions!$D$45,0))-Statements!$D$13-Statements!$D$15))*TaxRate,0),ROUND(ROUND(Statements!$D$6*(1+$B33),0)*MATRate,0)))/'Loan and Lease'!$D$33</f>
        <v/>
      </c>
      <c r="D33" s="61">
        <f>((ROUND(Statements!$D$6*(1+$B33),0)-ROUND(ROUND(Statements!$D$6*(1+$B33),0)*(1-D$32),0)-ROUND(ROUND(Statements!$D$6*(1+$B33),0)*Assumptions!$D$45,0))-MAX(ROUND(MAX(0,((ROUND(Statements!$D$6*(1+$B33),0)-ROUND(ROUND(Statements!$D$6*(1+$B33),0)*(1-D$32),0)-ROUND(ROUND(Statements!$D$6*(1+$B33),0)*Assumptions!$D$45,0))-Statements!$D$13-Statements!$D$15))*TaxRate,0),ROUND(ROUND(Statements!$D$6*(1+$B33),0)*MATRate,0)))/'Loan and Lease'!$D$33</f>
        <v/>
      </c>
      <c r="E33" s="61">
        <f>((ROUND(Statements!$D$6*(1+$B33),0)-ROUND(ROUND(Statements!$D$6*(1+$B33),0)*(1-E$32),0)-ROUND(ROUND(Statements!$D$6*(1+$B33),0)*Assumptions!$D$45,0))-MAX(ROUND(MAX(0,((ROUND(Statements!$D$6*(1+$B33),0)-ROUND(ROUND(Statements!$D$6*(1+$B33),0)*(1-E$32),0)-ROUND(ROUND(Statements!$D$6*(1+$B33),0)*Assumptions!$D$45,0))-Statements!$D$13-Statements!$D$15))*TaxRate,0),ROUND(ROUND(Statements!$D$6*(1+$B33),0)*MATRate,0)))/'Loan and Lease'!$D$33</f>
        <v/>
      </c>
    </row>
    <row r="34">
      <c r="B34" s="60" t="n">
        <v>0</v>
      </c>
      <c r="C34" s="61">
        <f>((ROUND(Statements!$D$6*(1+$B34),0)-ROUND(ROUND(Statements!$D$6*(1+$B34),0)*(1-C$32),0)-ROUND(ROUND(Statements!$D$6*(1+$B34),0)*Assumptions!$D$45,0))-MAX(ROUND(MAX(0,((ROUND(Statements!$D$6*(1+$B34),0)-ROUND(ROUND(Statements!$D$6*(1+$B34),0)*(1-C$32),0)-ROUND(ROUND(Statements!$D$6*(1+$B34),0)*Assumptions!$D$45,0))-Statements!$D$13-Statements!$D$15))*TaxRate,0),ROUND(ROUND(Statements!$D$6*(1+$B34),0)*MATRate,0)))/'Loan and Lease'!$D$33</f>
        <v/>
      </c>
      <c r="D34" s="61">
        <f>((ROUND(Statements!$D$6*(1+$B34),0)-ROUND(ROUND(Statements!$D$6*(1+$B34),0)*(1-D$32),0)-ROUND(ROUND(Statements!$D$6*(1+$B34),0)*Assumptions!$D$45,0))-MAX(ROUND(MAX(0,((ROUND(Statements!$D$6*(1+$B34),0)-ROUND(ROUND(Statements!$D$6*(1+$B34),0)*(1-D$32),0)-ROUND(ROUND(Statements!$D$6*(1+$B34),0)*Assumptions!$D$45,0))-Statements!$D$13-Statements!$D$15))*TaxRate,0),ROUND(ROUND(Statements!$D$6*(1+$B34),0)*MATRate,0)))/'Loan and Lease'!$D$33</f>
        <v/>
      </c>
      <c r="E34" s="61">
        <f>((ROUND(Statements!$D$6*(1+$B34),0)-ROUND(ROUND(Statements!$D$6*(1+$B34),0)*(1-E$32),0)-ROUND(ROUND(Statements!$D$6*(1+$B34),0)*Assumptions!$D$45,0))-MAX(ROUND(MAX(0,((ROUND(Statements!$D$6*(1+$B34),0)-ROUND(ROUND(Statements!$D$6*(1+$B34),0)*(1-E$32),0)-ROUND(ROUND(Statements!$D$6*(1+$B34),0)*Assumptions!$D$45,0))-Statements!$D$13-Statements!$D$15))*TaxRate,0),ROUND(ROUND(Statements!$D$6*(1+$B34),0)*MATRate,0)))/'Loan and Lease'!$D$33</f>
        <v/>
      </c>
    </row>
    <row r="35">
      <c r="B35" s="60" t="n">
        <v>0.1</v>
      </c>
      <c r="C35" s="61">
        <f>((ROUND(Statements!$D$6*(1+$B35),0)-ROUND(ROUND(Statements!$D$6*(1+$B35),0)*(1-C$32),0)-ROUND(ROUND(Statements!$D$6*(1+$B35),0)*Assumptions!$D$45,0))-MAX(ROUND(MAX(0,((ROUND(Statements!$D$6*(1+$B35),0)-ROUND(ROUND(Statements!$D$6*(1+$B35),0)*(1-C$32),0)-ROUND(ROUND(Statements!$D$6*(1+$B35),0)*Assumptions!$D$45,0))-Statements!$D$13-Statements!$D$15))*TaxRate,0),ROUND(ROUND(Statements!$D$6*(1+$B35),0)*MATRate,0)))/'Loan and Lease'!$D$33</f>
        <v/>
      </c>
      <c r="D35" s="61">
        <f>((ROUND(Statements!$D$6*(1+$B35),0)-ROUND(ROUND(Statements!$D$6*(1+$B35),0)*(1-D$32),0)-ROUND(ROUND(Statements!$D$6*(1+$B35),0)*Assumptions!$D$45,0))-MAX(ROUND(MAX(0,((ROUND(Statements!$D$6*(1+$B35),0)-ROUND(ROUND(Statements!$D$6*(1+$B35),0)*(1-D$32),0)-ROUND(ROUND(Statements!$D$6*(1+$B35),0)*Assumptions!$D$45,0))-Statements!$D$13-Statements!$D$15))*TaxRate,0),ROUND(ROUND(Statements!$D$6*(1+$B35),0)*MATRate,0)))/'Loan and Lease'!$D$33</f>
        <v/>
      </c>
      <c r="E35" s="61">
        <f>((ROUND(Statements!$D$6*(1+$B35),0)-ROUND(ROUND(Statements!$D$6*(1+$B35),0)*(1-E$32),0)-ROUND(ROUND(Statements!$D$6*(1+$B35),0)*Assumptions!$D$45,0))-MAX(ROUND(MAX(0,((ROUND(Statements!$D$6*(1+$B35),0)-ROUND(ROUND(Statements!$D$6*(1+$B35),0)*(1-E$32),0)-ROUND(ROUND(Statements!$D$6*(1+$B35),0)*Assumptions!$D$45,0))-Statements!$D$13-Statements!$D$15))*TaxRate,0),ROUND(ROUND(Statements!$D$6*(1+$B35),0)*MATRate,0)))/'Loan and Lease'!$D$33</f>
        <v/>
      </c>
    </row>
    <row r="36"/>
    <row r="37">
      <c r="B37" s="4" t="inlineStr">
        <is>
          <t>Commentary (three lines: what happened, why, action)</t>
        </is>
      </c>
    </row>
    <row r="38" ht="33" customHeight="1">
      <c r="B38" s="5" t="inlineStr">
        <is>
          <t>What happened</t>
        </is>
      </c>
      <c r="C38" s="24" t="inlineStr">
        <is>
          <t>Year 1 base case: revenue 150,000 and EBITDA 30,000 (20.0%); DSCR 1.58 against the 1.25 covenant, but 1.01 in the downside.</t>
        </is>
      </c>
    </row>
    <row r="39" ht="30" customHeight="1">
      <c r="B39" s="5" t="inlineStr">
        <is>
          <t>Why</t>
        </is>
      </c>
      <c r="C39" s="24" t="inlineStr">
        <is>
          <t>The new line ramps up to 62.5% utilization while lease interest and depreciation start in full.</t>
        </is>
      </c>
    </row>
    <row r="40" ht="30" customHeight="1">
      <c r="B40" s="5" t="inlineStr">
        <is>
          <t>Action</t>
        </is>
      </c>
      <c r="C40" s="24" t="inlineStr">
        <is>
          <t>Agree the downside response with Bank A in advance; fix waste on the new line; keep the equity cash buffer.</t>
        </is>
      </c>
    </row>
    <row r="41"/>
    <row r="42" ht="33" customHeight="1">
      <c r="B42" s="35" t="inlineStr">
        <is>
          <t>Trend sparklines: to add them, select I5:I20, choose Insert &gt; Sparklines &gt; Line and use the data range C5:F20 (the sparklines replace the Up / Down / Flat text).</t>
        </is>
      </c>
    </row>
    <row r="43"/>
    <row r="44" ht="22" customHeight="1">
      <c r="A44" s="14" t="inlineStr">
        <is>
          <t>Investopia Academy · A platform by Erudite Africa Investments PLC · investopia.et</t>
        </is>
      </c>
      <c r="B44" s="15" t="n"/>
      <c r="C44" s="15" t="n"/>
      <c r="D44" s="15" t="n"/>
      <c r="E44" s="15" t="n"/>
      <c r="F44" s="15" t="n"/>
      <c r="G44" s="15" t="n"/>
      <c r="H44" s="15" t="n"/>
      <c r="I44" s="15" t="n"/>
      <c r="J44" s="15" t="n"/>
      <c r="K44" s="15" t="n"/>
      <c r="L44" s="15" t="n"/>
      <c r="M44" s="15" t="n"/>
      <c r="N44" s="15" t="n"/>
      <c r="O44" s="15" t="n"/>
      <c r="P44" s="15" t="n"/>
      <c r="Q44" s="15" t="n"/>
      <c r="R44" s="15" t="n"/>
    </row>
  </sheetData>
  <mergeCells count="8">
    <mergeCell ref="F2:G2"/>
    <mergeCell ref="C40:I40"/>
    <mergeCell ref="D29:I29"/>
    <mergeCell ref="C39:I39"/>
    <mergeCell ref="B42:I42"/>
    <mergeCell ref="A44:R44"/>
    <mergeCell ref="C38:I38"/>
    <mergeCell ref="F32:I35"/>
  </mergeCells>
  <conditionalFormatting sqref="F2">
    <cfRule type="expression" priority="1" dxfId="0">
      <formula>F2="All checks OK"</formula>
    </cfRule>
    <cfRule type="expression" priority="2" dxfId="1">
      <formula>F2&lt;&gt;"All checks OK"</formula>
    </cfRule>
  </conditionalFormatting>
  <conditionalFormatting sqref="C5:F20">
    <cfRule type="expression" priority="3" dxfId="2">
      <formula>AND($T5&lt;&gt;"",ISNUMBER(C5),IF($T5="H",C5&gt;=$U5,C5&lt;=$U5))</formula>
    </cfRule>
    <cfRule type="expression" priority="4" dxfId="3">
      <formula>AND($T5&lt;&gt;"",ISNUMBER(C5),IF($T5="H",AND(C5&lt;$U5,C5&gt;=$V5),AND(C5&gt;$U5,C5&lt;=$V5)))</formula>
    </cfRule>
    <cfRule type="expression" priority="5" dxfId="4">
      <formula>AND($T5&lt;&gt;"",ISNUMBER(C5),IF($T5="H",C5&lt;$V5,C5&gt;$V5))</formula>
    </cfRule>
  </conditionalFormatting>
  <conditionalFormatting sqref="H5:H20">
    <cfRule type="expression" priority="6" dxfId="0">
      <formula>H5="Green"</formula>
    </cfRule>
    <cfRule type="expression" priority="7" dxfId="5">
      <formula>H5="Amber"</formula>
    </cfRule>
    <cfRule type="expression" priority="8" dxfId="1">
      <formula>H5="Red"</formula>
    </cfRule>
  </conditionalFormatting>
  <conditionalFormatting sqref="C27">
    <cfRule type="expression" priority="9" dxfId="1">
      <formula>C27&lt;0</formula>
    </cfRule>
  </conditionalFormatting>
  <conditionalFormatting sqref="C33:E35">
    <cfRule type="expression" priority="10" dxfId="4">
      <formula>C33&lt;CovDSCR</formula>
    </cfRule>
    <cfRule type="expression" priority="11" dxfId="3">
      <formula>AND(C33&gt;=CovDSCR,C33&lt;1.5)</formula>
    </cfRule>
    <cfRule type="expression" priority="12" dxfId="2">
      <formula>C33&gt;=1.5</formula>
    </cfRule>
  </conditionalFormatting>
  <printOptions horizontalCentered="1"/>
  <pageMargins left="0.4" right="0.4" top="0.6" bottom="0.6" header="0.5" footer="0.5"/>
  <pageSetup orientation="landscape" paperSize="9" fitToHeight="1" fitToWidth="1"/>
  <headerFooter>
    <oddHeader/>
    <oddFooter>&amp;C&amp;8 Investopia Academy · A platform by Erudite Africa Investments PLC · investopia.et&amp;R&amp;8 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tabColor rgb="000F4C3A"/>
    <outlinePr summaryBelow="1" summaryRight="1"/>
    <pageSetUpPr fitToPage="1"/>
  </sheetPr>
  <dimension ref="A1:L2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18" customWidth="1" min="2" max="2"/>
    <col width="36" customWidth="1" min="3" max="3"/>
    <col width="30" customWidth="1" min="4" max="4"/>
    <col width="22" customWidth="1" min="5" max="5"/>
    <col width="11" customWidth="1" min="6" max="6"/>
    <col width="10" customWidth="1" min="7" max="7"/>
    <col width="11" customWidth="1" min="8" max="8"/>
    <col width="10" customWidth="1" min="9" max="9"/>
    <col width="10" customWidth="1" min="10" max="10"/>
    <col width="11" customWidth="1" min="11" max="11"/>
    <col width="46" customWidth="1" min="12" max="12"/>
  </cols>
  <sheetData>
    <row r="1" ht="26" customHeight="1">
      <c r="A1" s="1" t="inlineStr">
        <is>
          <t>Balanced scorecard: Year 1, first quarter</t>
        </is>
      </c>
      <c r="B1" s="2" t="n"/>
      <c r="C1" s="2" t="n"/>
      <c r="D1" s="2" t="n"/>
      <c r="E1" s="2" t="n"/>
      <c r="F1" s="2" t="n"/>
      <c r="G1" s="2" t="n"/>
      <c r="H1" s="2" t="n"/>
      <c r="I1" s="2" t="n"/>
      <c r="J1" s="2" t="n"/>
      <c r="K1" s="2" t="n"/>
      <c r="L1" s="2" t="n"/>
    </row>
    <row r="2">
      <c r="A2" s="16" t="inlineStr">
        <is>
          <t>Status: green at or better than the target value, amber within the tolerance, red beyond it.</t>
        </is>
      </c>
    </row>
    <row r="3"/>
    <row r="4" ht="33" customHeight="1">
      <c r="B4" s="11" t="inlineStr">
        <is>
          <t>Perspective</t>
        </is>
      </c>
      <c r="C4" s="11" t="inlineStr">
        <is>
          <t>Measure</t>
        </is>
      </c>
      <c r="D4" s="11" t="inlineStr">
        <is>
          <t>Owner</t>
        </is>
      </c>
      <c r="E4" s="11" t="inlineStr">
        <is>
          <t>Target</t>
        </is>
      </c>
      <c r="F4" s="11" t="inlineStr">
        <is>
          <t>Target value</t>
        </is>
      </c>
      <c r="G4" s="11" t="inlineStr">
        <is>
          <t>Better when</t>
        </is>
      </c>
      <c r="H4" s="11" t="inlineStr">
        <is>
          <t>Amber tolerance</t>
        </is>
      </c>
      <c r="I4" s="11" t="inlineStr">
        <is>
          <t>Actual</t>
        </is>
      </c>
      <c r="J4" s="11" t="inlineStr">
        <is>
          <t>Status</t>
        </is>
      </c>
      <c r="K4" s="11" t="inlineStr">
        <is>
          <t>Trend</t>
        </is>
      </c>
      <c r="L4" s="11" t="inlineStr">
        <is>
          <t>Action and date</t>
        </is>
      </c>
    </row>
    <row r="5">
      <c r="B5" s="24" t="inlineStr">
        <is>
          <t>Financial</t>
        </is>
      </c>
      <c r="C5" s="24" t="inlineStr">
        <is>
          <t>EBITDA margin</t>
        </is>
      </c>
      <c r="D5" s="24" t="inlineStr">
        <is>
          <t>Finance manager</t>
        </is>
      </c>
      <c r="E5" s="24" t="inlineStr">
        <is>
          <t>20%</t>
        </is>
      </c>
      <c r="F5" s="22" t="n">
        <v>0.2</v>
      </c>
      <c r="G5" s="40" t="inlineStr">
        <is>
          <t>Higher</t>
        </is>
      </c>
      <c r="H5" s="22" t="n">
        <v>0.025</v>
      </c>
      <c r="I5" s="22" t="n">
        <v>0.184</v>
      </c>
      <c r="J5" s="52">
        <f>IF(I5="","",IF(G5="Higher",IF(I5&gt;=F5,"Green",IF(I5&gt;=F5-H5,"Amber","Red")),IF(I5&lt;=F5,"Green",IF(I5&lt;=F5+H5,"Amber","Red"))))</f>
        <v/>
      </c>
      <c r="K5" s="40" t="inlineStr">
        <is>
          <t>Down</t>
        </is>
      </c>
      <c r="L5" s="24" t="n"/>
    </row>
    <row r="6">
      <c r="B6" s="24" t="inlineStr">
        <is>
          <t>Financial</t>
        </is>
      </c>
      <c r="C6" s="24" t="inlineStr">
        <is>
          <t>DSCR, rolling 12 months</t>
        </is>
      </c>
      <c r="D6" s="24" t="inlineStr">
        <is>
          <t>Finance manager</t>
        </is>
      </c>
      <c r="E6" s="24" t="inlineStr">
        <is>
          <t>at least 1.5</t>
        </is>
      </c>
      <c r="F6" s="27" t="n">
        <v>1.5</v>
      </c>
      <c r="G6" s="40" t="inlineStr">
        <is>
          <t>Higher</t>
        </is>
      </c>
      <c r="H6" s="27" t="n">
        <v>0.25</v>
      </c>
      <c r="I6" s="27" t="n">
        <v>1.62</v>
      </c>
      <c r="J6" s="52">
        <f>IF(I6="","",IF(G6="Higher",IF(I6&gt;=F6,"Green",IF(I6&gt;=F6-H6,"Amber","Red")),IF(I6&lt;=F6,"Green",IF(I6&lt;=F6+H6,"Amber","Red"))))</f>
        <v/>
      </c>
      <c r="K6" s="40" t="inlineStr">
        <is>
          <t>Flat</t>
        </is>
      </c>
      <c r="L6" s="24" t="n"/>
    </row>
    <row r="7">
      <c r="B7" s="24" t="inlineStr">
        <is>
          <t>Financial</t>
        </is>
      </c>
      <c r="C7" s="24" t="inlineStr">
        <is>
          <t>Receivable days</t>
        </is>
      </c>
      <c r="D7" s="24" t="inlineStr">
        <is>
          <t>Finance manager</t>
        </is>
      </c>
      <c r="E7" s="24" t="inlineStr">
        <is>
          <t>at most 66</t>
        </is>
      </c>
      <c r="F7" s="26" t="n">
        <v>66</v>
      </c>
      <c r="G7" s="40" t="inlineStr">
        <is>
          <t>Lower</t>
        </is>
      </c>
      <c r="H7" s="26" t="n">
        <v>5</v>
      </c>
      <c r="I7" s="26" t="n">
        <v>68</v>
      </c>
      <c r="J7" s="52">
        <f>IF(I7="","",IF(G7="Higher",IF(I7&gt;=F7,"Green",IF(I7&gt;=F7-H7,"Amber","Red")),IF(I7&lt;=F7,"Green",IF(I7&lt;=F7+H7,"Amber","Red"))))</f>
        <v/>
      </c>
      <c r="K7" s="40" t="inlineStr">
        <is>
          <t>Up</t>
        </is>
      </c>
      <c r="L7" s="24" t="n"/>
    </row>
    <row r="8">
      <c r="B8" s="24" t="inlineStr">
        <is>
          <t>Customer</t>
        </is>
      </c>
      <c r="C8" s="24" t="inlineStr">
        <is>
          <t>On-time in-full delivery</t>
        </is>
      </c>
      <c r="D8" s="24" t="inlineStr">
        <is>
          <t>Sales manager (Wro. Meron Assefa)</t>
        </is>
      </c>
      <c r="E8" s="24" t="inlineStr">
        <is>
          <t>95%</t>
        </is>
      </c>
      <c r="F8" s="28" t="n">
        <v>0.95</v>
      </c>
      <c r="G8" s="40" t="inlineStr">
        <is>
          <t>Higher</t>
        </is>
      </c>
      <c r="H8" s="28" t="n">
        <v>0.05</v>
      </c>
      <c r="I8" s="28" t="n">
        <v>0.91</v>
      </c>
      <c r="J8" s="52">
        <f>IF(I8="","",IF(G8="Higher",IF(I8&gt;=F8,"Green",IF(I8&gt;=F8-H8,"Amber","Red")),IF(I8&lt;=F8,"Green",IF(I8&lt;=F8+H8,"Amber","Red"))))</f>
        <v/>
      </c>
      <c r="K8" s="40" t="inlineStr">
        <is>
          <t>Up</t>
        </is>
      </c>
      <c r="L8" s="24" t="n"/>
    </row>
    <row r="9">
      <c r="B9" s="24" t="inlineStr">
        <is>
          <t>Customer</t>
        </is>
      </c>
      <c r="C9" s="24" t="inlineStr">
        <is>
          <t>Top 5 customers' share of sales</t>
        </is>
      </c>
      <c r="D9" s="24" t="inlineStr">
        <is>
          <t>Sales manager</t>
        </is>
      </c>
      <c r="E9" s="24" t="inlineStr">
        <is>
          <t>at most 45%</t>
        </is>
      </c>
      <c r="F9" s="28" t="n">
        <v>0.45</v>
      </c>
      <c r="G9" s="40" t="inlineStr">
        <is>
          <t>Lower</t>
        </is>
      </c>
      <c r="H9" s="28" t="n">
        <v>0.05</v>
      </c>
      <c r="I9" s="28" t="n">
        <v>0.48</v>
      </c>
      <c r="J9" s="52">
        <f>IF(I9="","",IF(G9="Higher",IF(I9&gt;=F9,"Green",IF(I9&gt;=F9-H9,"Amber","Red")),IF(I9&lt;=F9,"Green",IF(I9&lt;=F9+H9,"Amber","Red"))))</f>
        <v/>
      </c>
      <c r="K9" s="40" t="inlineStr">
        <is>
          <t>Flat</t>
        </is>
      </c>
      <c r="L9" s="24" t="n"/>
    </row>
    <row r="10">
      <c r="B10" s="24" t="inlineStr">
        <is>
          <t>Customer</t>
        </is>
      </c>
      <c r="C10" s="24" t="inlineStr">
        <is>
          <t>Customer complaints per 100 deliveries</t>
        </is>
      </c>
      <c r="D10" s="24" t="inlineStr">
        <is>
          <t>Sales manager</t>
        </is>
      </c>
      <c r="E10" s="24" t="inlineStr">
        <is>
          <t>at most 2</t>
        </is>
      </c>
      <c r="F10" s="62" t="n">
        <v>2</v>
      </c>
      <c r="G10" s="40" t="inlineStr">
        <is>
          <t>Lower</t>
        </is>
      </c>
      <c r="H10" s="62" t="n">
        <v>0.5</v>
      </c>
      <c r="I10" s="62" t="n">
        <v>1.6</v>
      </c>
      <c r="J10" s="52">
        <f>IF(I10="","",IF(G10="Higher",IF(I10&gt;=F10,"Green",IF(I10&gt;=F10-H10,"Amber","Red")),IF(I10&lt;=F10,"Green",IF(I10&lt;=F10+H10,"Amber","Red"))))</f>
        <v/>
      </c>
      <c r="K10" s="40" t="inlineStr">
        <is>
          <t>Down</t>
        </is>
      </c>
      <c r="L10" s="24" t="n"/>
    </row>
    <row r="11" ht="33" customHeight="1">
      <c r="B11" s="24" t="inlineStr">
        <is>
          <t>Internal process</t>
        </is>
      </c>
      <c r="C11" s="24" t="inlineStr">
        <is>
          <t>Waste on the new line</t>
        </is>
      </c>
      <c r="D11" s="24" t="inlineStr">
        <is>
          <t>Production manager (Ato Kebede Alemu)</t>
        </is>
      </c>
      <c r="E11" s="24" t="inlineStr">
        <is>
          <t>at most 4%</t>
        </is>
      </c>
      <c r="F11" s="22" t="n">
        <v>0.04</v>
      </c>
      <c r="G11" s="40" t="inlineStr">
        <is>
          <t>Lower</t>
        </is>
      </c>
      <c r="H11" s="22" t="n">
        <v>0.01</v>
      </c>
      <c r="I11" s="22" t="n">
        <v>0.062</v>
      </c>
      <c r="J11" s="52">
        <f>IF(I11="","",IF(G11="Higher",IF(I11&gt;=F11,"Green",IF(I11&gt;=F11-H11,"Amber","Red")),IF(I11&lt;=F11,"Green",IF(I11&lt;=F11+H11,"Amber","Red"))))</f>
        <v/>
      </c>
      <c r="K11" s="40" t="inlineStr">
        <is>
          <t>Up</t>
        </is>
      </c>
      <c r="L11" s="24" t="inlineStr">
        <is>
          <t>Supplier engineer visit and operator retraining, by end of month 4</t>
        </is>
      </c>
    </row>
    <row r="12">
      <c r="B12" s="24" t="inlineStr">
        <is>
          <t>Internal process</t>
        </is>
      </c>
      <c r="C12" s="24" t="inlineStr">
        <is>
          <t>Line utilization</t>
        </is>
      </c>
      <c r="D12" s="24" t="inlineStr">
        <is>
          <t>Production manager</t>
        </is>
      </c>
      <c r="E12" s="24" t="inlineStr">
        <is>
          <t>62.5%</t>
        </is>
      </c>
      <c r="F12" s="22" t="n">
        <v>0.625</v>
      </c>
      <c r="G12" s="40" t="inlineStr">
        <is>
          <t>Higher</t>
        </is>
      </c>
      <c r="H12" s="22" t="n">
        <v>0.05</v>
      </c>
      <c r="I12" s="22" t="n">
        <v>0.58</v>
      </c>
      <c r="J12" s="52">
        <f>IF(I12="","",IF(G12="Higher",IF(I12&gt;=F12,"Green",IF(I12&gt;=F12-H12,"Amber","Red")),IF(I12&lt;=F12,"Green",IF(I12&lt;=F12+H12,"Amber","Red"))))</f>
        <v/>
      </c>
      <c r="K12" s="40" t="inlineStr">
        <is>
          <t>Up</t>
        </is>
      </c>
      <c r="L12" s="24" t="n"/>
    </row>
    <row r="13" ht="33" customHeight="1">
      <c r="B13" s="24" t="inlineStr">
        <is>
          <t>Learning and growth</t>
        </is>
      </c>
      <c r="C13" s="24" t="inlineStr">
        <is>
          <t>Operators certified on the new line</t>
        </is>
      </c>
      <c r="D13" s="24" t="inlineStr">
        <is>
          <t>HR officer</t>
        </is>
      </c>
      <c r="E13" s="24" t="inlineStr">
        <is>
          <t>100% by month 6 (75% at month 3)</t>
        </is>
      </c>
      <c r="F13" s="28" t="n">
        <v>0.75</v>
      </c>
      <c r="G13" s="40" t="inlineStr">
        <is>
          <t>Higher</t>
        </is>
      </c>
      <c r="H13" s="28" t="n">
        <v>0.1</v>
      </c>
      <c r="I13" s="28" t="n">
        <v>0.75</v>
      </c>
      <c r="J13" s="52">
        <f>IF(I13="","",IF(G13="Higher",IF(I13&gt;=F13,"Green",IF(I13&gt;=F13-H13,"Amber","Red")),IF(I13&lt;=F13,"Green",IF(I13&lt;=F13+H13,"Amber","Red"))))</f>
        <v/>
      </c>
      <c r="K13" s="40" t="inlineStr">
        <is>
          <t>Up</t>
        </is>
      </c>
      <c r="L13" s="24" t="n"/>
    </row>
    <row r="14">
      <c r="B14" s="24" t="inlineStr">
        <is>
          <t>Learning and growth</t>
        </is>
      </c>
      <c r="C14" s="24" t="inlineStr">
        <is>
          <t>Annual staff turnover</t>
        </is>
      </c>
      <c r="D14" s="24" t="inlineStr">
        <is>
          <t>HR officer</t>
        </is>
      </c>
      <c r="E14" s="24" t="inlineStr">
        <is>
          <t>at most 10%</t>
        </is>
      </c>
      <c r="F14" s="28" t="n">
        <v>0.1</v>
      </c>
      <c r="G14" s="40" t="inlineStr">
        <is>
          <t>Lower</t>
        </is>
      </c>
      <c r="H14" s="28" t="n">
        <v>0.02</v>
      </c>
      <c r="I14" s="28" t="n">
        <v>0.08</v>
      </c>
      <c r="J14" s="52">
        <f>IF(I14="","",IF(G14="Higher",IF(I14&gt;=F14,"Green",IF(I14&gt;=F14-H14,"Amber","Red")),IF(I14&lt;=F14,"Green",IF(I14&lt;=F14+H14,"Amber","Red"))))</f>
        <v/>
      </c>
      <c r="K14" s="40" t="inlineStr">
        <is>
          <t>Flat</t>
        </is>
      </c>
      <c r="L14" s="24" t="n"/>
    </row>
    <row r="15">
      <c r="B15" s="24" t="inlineStr">
        <is>
          <t>Learning and growth</t>
        </is>
      </c>
      <c r="C15" s="24" t="inlineStr">
        <is>
          <t>Women in supervisory roles</t>
        </is>
      </c>
      <c r="D15" s="24" t="inlineStr">
        <is>
          <t>HR officer</t>
        </is>
      </c>
      <c r="E15" s="24" t="inlineStr">
        <is>
          <t>30%</t>
        </is>
      </c>
      <c r="F15" s="28" t="n">
        <v>0.3</v>
      </c>
      <c r="G15" s="40" t="inlineStr">
        <is>
          <t>Higher</t>
        </is>
      </c>
      <c r="H15" s="28" t="n">
        <v>0.1</v>
      </c>
      <c r="I15" s="28" t="n">
        <v>0.24</v>
      </c>
      <c r="J15" s="52">
        <f>IF(I15="","",IF(G15="Higher",IF(I15&gt;=F15,"Green",IF(I15&gt;=F15-H15,"Amber","Red")),IF(I15&lt;=F15,"Green",IF(I15&lt;=F15+H15,"Amber","Red"))))</f>
        <v/>
      </c>
      <c r="K15" s="40" t="inlineStr">
        <is>
          <t>Up</t>
        </is>
      </c>
      <c r="L15" s="24" t="n"/>
    </row>
    <row r="16">
      <c r="B16" s="40" t="n"/>
      <c r="C16" s="40" t="n"/>
      <c r="D16" s="40" t="n"/>
      <c r="E16" s="40" t="n"/>
      <c r="F16" s="40" t="n"/>
      <c r="G16" s="40" t="n"/>
      <c r="H16" s="40" t="n"/>
      <c r="I16" s="40" t="n"/>
      <c r="J16" s="52">
        <f>IF(I16="","",IF(G16="Higher",IF(I16&gt;=F16,"Green",IF(I16&gt;=F16-H16,"Amber","Red")),IF(I16&lt;=F16,"Green",IF(I16&lt;=F16+H16,"Amber","Red"))))</f>
        <v/>
      </c>
      <c r="K16" s="40" t="n"/>
      <c r="L16" s="40" t="n"/>
    </row>
    <row r="17">
      <c r="B17" s="40" t="n"/>
      <c r="C17" s="40" t="n"/>
      <c r="D17" s="40" t="n"/>
      <c r="E17" s="40" t="n"/>
      <c r="F17" s="40" t="n"/>
      <c r="G17" s="40" t="n"/>
      <c r="H17" s="40" t="n"/>
      <c r="I17" s="40" t="n"/>
      <c r="J17" s="52">
        <f>IF(I17="","",IF(G17="Higher",IF(I17&gt;=F17,"Green",IF(I17&gt;=F17-H17,"Amber","Red")),IF(I17&lt;=F17,"Green",IF(I17&lt;=F17+H17,"Amber","Red"))))</f>
        <v/>
      </c>
      <c r="K17" s="40" t="n"/>
      <c r="L17" s="40" t="n"/>
    </row>
    <row r="18">
      <c r="B18" s="40" t="n"/>
      <c r="C18" s="40" t="n"/>
      <c r="D18" s="40" t="n"/>
      <c r="E18" s="40" t="n"/>
      <c r="F18" s="40" t="n"/>
      <c r="G18" s="40" t="n"/>
      <c r="H18" s="40" t="n"/>
      <c r="I18" s="40" t="n"/>
      <c r="J18" s="52">
        <f>IF(I18="","",IF(G18="Higher",IF(I18&gt;=F18,"Green",IF(I18&gt;=F18-H18,"Amber","Red")),IF(I18&lt;=F18,"Green",IF(I18&lt;=F18+H18,"Amber","Red"))))</f>
        <v/>
      </c>
      <c r="K18" s="40" t="n"/>
      <c r="L18" s="40" t="n"/>
    </row>
    <row r="19">
      <c r="B19" s="40" t="n"/>
      <c r="C19" s="40" t="n"/>
      <c r="D19" s="40" t="n"/>
      <c r="E19" s="40" t="n"/>
      <c r="F19" s="40" t="n"/>
      <c r="G19" s="40" t="n"/>
      <c r="H19" s="40" t="n"/>
      <c r="I19" s="40" t="n"/>
      <c r="J19" s="52">
        <f>IF(I19="","",IF(G19="Higher",IF(I19&gt;=F19,"Green",IF(I19&gt;=F19-H19,"Amber","Red")),IF(I19&lt;=F19,"Green",IF(I19&lt;=F19+H19,"Amber","Red"))))</f>
        <v/>
      </c>
      <c r="K19" s="40" t="n"/>
      <c r="L19" s="40" t="n"/>
    </row>
    <row r="20">
      <c r="B20" s="40" t="n"/>
      <c r="C20" s="40" t="n"/>
      <c r="D20" s="40" t="n"/>
      <c r="E20" s="40" t="n"/>
      <c r="F20" s="40" t="n"/>
      <c r="G20" s="40" t="n"/>
      <c r="H20" s="40" t="n"/>
      <c r="I20" s="40" t="n"/>
      <c r="J20" s="52">
        <f>IF(I20="","",IF(G20="Higher",IF(I20&gt;=F20,"Green",IF(I20&gt;=F20-H20,"Amber","Red")),IF(I20&lt;=F20,"Green",IF(I20&lt;=F20+H20,"Amber","Red"))))</f>
        <v/>
      </c>
      <c r="K20" s="40" t="n"/>
      <c r="L20" s="40" t="n"/>
    </row>
    <row r="21"/>
    <row r="22">
      <c r="B22" s="5" t="inlineStr">
        <is>
          <t>Count</t>
        </is>
      </c>
      <c r="C22" s="34">
        <f>COUNTIF($J$5:$J$20,"Green")&amp;" green"</f>
        <v/>
      </c>
      <c r="D22" s="34">
        <f>COUNTIF($J$5:$J$20,"Amber")&amp;" amber"</f>
        <v/>
      </c>
      <c r="E22" s="34">
        <f>COUNTIF($J$5:$J$20,"Red")&amp;" red"</f>
        <v/>
      </c>
    </row>
    <row r="23"/>
    <row r="24">
      <c r="B24" s="63" t="inlineStr">
        <is>
          <t>Cause and effect: operator training (learning and growth) reduces waste on the new line (internal process), which improves on-time delivery and gross margin (customer and financial), which protects cash and the DSCR. Fix the red item first: it explains most of the amber ones.</t>
        </is>
      </c>
      <c r="C24" s="64" t="n"/>
      <c r="D24" s="64" t="n"/>
      <c r="E24" s="64" t="n"/>
      <c r="F24" s="64" t="n"/>
      <c r="G24" s="64" t="n"/>
      <c r="H24" s="64" t="n"/>
      <c r="I24" s="64" t="n"/>
      <c r="J24" s="64" t="n"/>
      <c r="K24" s="64" t="n"/>
      <c r="L24" s="64" t="n"/>
    </row>
    <row r="25">
      <c r="B25" s="64" t="n"/>
      <c r="C25" s="64" t="n"/>
      <c r="D25" s="64" t="n"/>
      <c r="E25" s="64" t="n"/>
      <c r="F25" s="64" t="n"/>
      <c r="G25" s="64" t="n"/>
      <c r="H25" s="64" t="n"/>
      <c r="I25" s="64" t="n"/>
      <c r="J25" s="64" t="n"/>
      <c r="K25" s="64" t="n"/>
      <c r="L25" s="64" t="n"/>
    </row>
    <row r="26">
      <c r="B26" s="64" t="n"/>
      <c r="C26" s="64" t="n"/>
      <c r="D26" s="64" t="n"/>
      <c r="E26" s="64" t="n"/>
      <c r="F26" s="64" t="n"/>
      <c r="G26" s="64" t="n"/>
      <c r="H26" s="64" t="n"/>
      <c r="I26" s="64" t="n"/>
      <c r="J26" s="64" t="n"/>
      <c r="K26" s="64" t="n"/>
      <c r="L26" s="64" t="n"/>
    </row>
    <row r="27"/>
    <row r="28" ht="22" customHeight="1">
      <c r="A28" s="14" t="inlineStr">
        <is>
          <t>Investopia Academy · A platform by Erudite Africa Investments PLC · investopia.et</t>
        </is>
      </c>
      <c r="B28" s="15" t="n"/>
      <c r="C28" s="15" t="n"/>
      <c r="D28" s="15" t="n"/>
      <c r="E28" s="15" t="n"/>
      <c r="F28" s="15" t="n"/>
      <c r="G28" s="15" t="n"/>
      <c r="H28" s="15" t="n"/>
      <c r="I28" s="15" t="n"/>
      <c r="J28" s="15" t="n"/>
      <c r="K28" s="15" t="n"/>
      <c r="L28" s="15" t="n"/>
    </row>
  </sheetData>
  <mergeCells count="2">
    <mergeCell ref="A28:L28"/>
    <mergeCell ref="B24:L26"/>
  </mergeCells>
  <conditionalFormatting sqref="J5:J30">
    <cfRule type="expression" priority="1" dxfId="0">
      <formula>J5="Green"</formula>
    </cfRule>
    <cfRule type="expression" priority="2" dxfId="5">
      <formula>J5="Amber"</formula>
    </cfRule>
    <cfRule type="expression" priority="3" dxfId="1">
      <formula>J5="Red"</formula>
    </cfRule>
  </conditionalFormatting>
  <dataValidations count="3">
    <dataValidation sqref="G5:G30" showDropDown="0" showInputMessage="0" showErrorMessage="0" allowBlank="1" errorTitle="Invalid entry" error="Choose a value from the list." type="list">
      <formula1>"Higher,Lower"</formula1>
    </dataValidation>
    <dataValidation sqref="B5:B30" showDropDown="0" showInputMessage="0" showErrorMessage="0" allowBlank="1" errorTitle="Invalid entry" error="Choose a value from the list." type="list">
      <formula1>"Financial,Customer,Internal process,Learning and growth"</formula1>
    </dataValidation>
    <dataValidation sqref="K5:K30" showDropDown="0" showInputMessage="0" showErrorMessage="0" allowBlank="1" errorTitle="Invalid entry" error="Choose a value from the list." type="list">
      <formula1>"Up,Down,Flat"</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9.xml><?xml version="1.0" encoding="utf-8"?>
<worksheet xmlns="http://schemas.openxmlformats.org/spreadsheetml/2006/main">
  <sheetPr>
    <tabColor rgb="000F4C3A"/>
    <outlinePr summaryBelow="1" summaryRight="1"/>
    <pageSetUpPr fitToPage="1"/>
  </sheetPr>
  <dimension ref="A1:I82"/>
  <sheetViews>
    <sheetView showGridLines="0" workbookViewId="0">
      <pane xSplit="3" ySplit="11" topLeftCell="D12"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34" customWidth="1" min="3" max="3"/>
    <col width="70" customWidth="1" min="4" max="4"/>
    <col width="12" customWidth="1" min="5" max="5"/>
    <col width="14" customWidth="1" min="6" max="6"/>
    <col width="20" customWidth="1" min="7" max="7"/>
    <col width="12" customWidth="1" min="8" max="8"/>
    <col width="40" customWidth="1" min="9" max="9"/>
  </cols>
  <sheetData>
    <row r="1" ht="26" customHeight="1">
      <c r="A1" s="1" t="inlineStr">
        <is>
          <t>Investor data room checklist</t>
        </is>
      </c>
      <c r="B1" s="2" t="n"/>
      <c r="C1" s="2" t="n"/>
      <c r="D1" s="2" t="n"/>
      <c r="E1" s="2" t="n"/>
      <c r="F1" s="2" t="n"/>
      <c r="G1" s="2" t="n"/>
      <c r="H1" s="2" t="n"/>
      <c r="I1" s="2" t="n"/>
    </row>
    <row r="2">
      <c r="A2" s="16" t="inlineStr">
        <is>
          <t>Status from the list: Ready, In progress, Missing, Not applicable. % ready excludes Not applicable.</t>
        </is>
      </c>
    </row>
    <row r="3"/>
    <row r="4">
      <c r="C4" s="5" t="inlineStr">
        <is>
          <t>Ready</t>
        </is>
      </c>
      <c r="D4" s="65">
        <f>COUNTIF($F$12:$F$80,"Ready")</f>
        <v/>
      </c>
    </row>
    <row r="5">
      <c r="C5" s="5" t="inlineStr">
        <is>
          <t>In progress</t>
        </is>
      </c>
      <c r="D5" s="65">
        <f>COUNTIF($F$12:$F$80,"In progress")</f>
        <v/>
      </c>
    </row>
    <row r="6">
      <c r="C6" s="5" t="inlineStr">
        <is>
          <t>Missing</t>
        </is>
      </c>
      <c r="D6" s="65">
        <f>COUNTIF($F$12:$F$80,"Missing")</f>
        <v/>
      </c>
    </row>
    <row r="7">
      <c r="C7" s="5" t="inlineStr">
        <is>
          <t>Not applicable</t>
        </is>
      </c>
      <c r="D7" s="65">
        <f>COUNTIF($F$12:$F$80,"Not applicable")</f>
        <v/>
      </c>
    </row>
    <row r="8">
      <c r="C8" s="5" t="inlineStr">
        <is>
          <t>Total documents</t>
        </is>
      </c>
      <c r="D8" s="66">
        <f>COUNTA($D$12:$D$80)</f>
        <v/>
      </c>
    </row>
    <row r="9">
      <c r="C9" s="5" t="inlineStr">
        <is>
          <t>% ready (of applicable documents)</t>
        </is>
      </c>
      <c r="D9" s="67">
        <f>IF(D8-D7=0,0,D4/(D8-D7))</f>
        <v/>
      </c>
    </row>
    <row r="10"/>
    <row r="11" ht="20" customHeight="1">
      <c r="B11" s="11" t="inlineStr">
        <is>
          <t>No.</t>
        </is>
      </c>
      <c r="C11" s="11" t="inlineStr">
        <is>
          <t>Folder</t>
        </is>
      </c>
      <c r="D11" s="11" t="inlineStr">
        <is>
          <t>Document</t>
        </is>
      </c>
      <c r="E11" s="11" t="inlineStr">
        <is>
          <t>Required by</t>
        </is>
      </c>
      <c r="F11" s="11" t="inlineStr">
        <is>
          <t>Status</t>
        </is>
      </c>
      <c r="G11" s="11" t="inlineStr">
        <is>
          <t>Owner</t>
        </is>
      </c>
      <c r="H11" s="11" t="inlineStr">
        <is>
          <t>Due date</t>
        </is>
      </c>
      <c r="I11" s="11" t="inlineStr">
        <is>
          <t>Notes</t>
        </is>
      </c>
    </row>
    <row r="12">
      <c r="B12" s="68" t="n">
        <v>1</v>
      </c>
      <c r="C12" s="40" t="inlineStr">
        <is>
          <t>1. Corporate</t>
        </is>
      </c>
      <c r="D12" s="24" t="inlineStr">
        <is>
          <t>Memorandum and articles of association</t>
        </is>
      </c>
      <c r="E12" s="40" t="inlineStr">
        <is>
          <t>Both</t>
        </is>
      </c>
      <c r="F12" s="40" t="inlineStr">
        <is>
          <t>Ready</t>
        </is>
      </c>
      <c r="G12" s="40" t="inlineStr">
        <is>
          <t>Company secretary</t>
        </is>
      </c>
      <c r="H12" s="38" t="n"/>
      <c r="I12" s="24" t="n"/>
    </row>
    <row r="13">
      <c r="B13" s="68" t="n">
        <v>2</v>
      </c>
      <c r="C13" s="40" t="inlineStr">
        <is>
          <t>1. Corporate</t>
        </is>
      </c>
      <c r="D13" s="24" t="inlineStr">
        <is>
          <t>Share register and shareholder list</t>
        </is>
      </c>
      <c r="E13" s="40" t="inlineStr">
        <is>
          <t>Investor</t>
        </is>
      </c>
      <c r="F13" s="40" t="inlineStr">
        <is>
          <t>Ready</t>
        </is>
      </c>
      <c r="G13" s="40" t="inlineStr">
        <is>
          <t>Company secretary</t>
        </is>
      </c>
      <c r="H13" s="38" t="n"/>
      <c r="I13" s="24" t="n"/>
    </row>
    <row r="14">
      <c r="B14" s="68" t="n">
        <v>3</v>
      </c>
      <c r="C14" s="40" t="inlineStr">
        <is>
          <t>1. Corporate</t>
        </is>
      </c>
      <c r="D14" s="24" t="inlineStr">
        <is>
          <t>Board and general meeting minutes, 3 years</t>
        </is>
      </c>
      <c r="E14" s="40" t="inlineStr">
        <is>
          <t>Both</t>
        </is>
      </c>
      <c r="F14" s="40" t="inlineStr">
        <is>
          <t>Ready</t>
        </is>
      </c>
      <c r="G14" s="40" t="inlineStr">
        <is>
          <t>Company secretary</t>
        </is>
      </c>
      <c r="H14" s="38" t="n"/>
      <c r="I14" s="24" t="n"/>
    </row>
    <row r="15">
      <c r="B15" s="68" t="n">
        <v>4</v>
      </c>
      <c r="C15" s="40" t="inlineStr">
        <is>
          <t>1. Corporate</t>
        </is>
      </c>
      <c r="D15" s="24" t="inlineStr">
        <is>
          <t>Board resolution to borrow or issue shares</t>
        </is>
      </c>
      <c r="E15" s="40" t="inlineStr">
        <is>
          <t>Both</t>
        </is>
      </c>
      <c r="F15" s="40" t="inlineStr">
        <is>
          <t>In progress</t>
        </is>
      </c>
      <c r="G15" s="40" t="inlineStr">
        <is>
          <t>Company secretary</t>
        </is>
      </c>
      <c r="H15" s="38" t="n">
        <v>46341</v>
      </c>
      <c r="I15" s="24" t="inlineStr">
        <is>
          <t>Board meeting scheduled</t>
        </is>
      </c>
    </row>
    <row r="16">
      <c r="B16" s="68" t="n">
        <v>5</v>
      </c>
      <c r="C16" s="40" t="inlineStr">
        <is>
          <t>2. Licenses and registration</t>
        </is>
      </c>
      <c r="D16" s="24" t="inlineStr">
        <is>
          <t>Commercial registration and trade name</t>
        </is>
      </c>
      <c r="E16" s="40" t="inlineStr">
        <is>
          <t>Both</t>
        </is>
      </c>
      <c r="F16" s="40" t="inlineStr">
        <is>
          <t>Ready</t>
        </is>
      </c>
      <c r="G16" s="40" t="inlineStr">
        <is>
          <t>Admin manager</t>
        </is>
      </c>
      <c r="H16" s="38" t="n"/>
      <c r="I16" s="24" t="n"/>
    </row>
    <row r="17">
      <c r="B17" s="68" t="n">
        <v>6</v>
      </c>
      <c r="C17" s="40" t="inlineStr">
        <is>
          <t>2. Licenses and registration</t>
        </is>
      </c>
      <c r="D17" s="24" t="inlineStr">
        <is>
          <t>Business license renewed for the current fiscal year</t>
        </is>
      </c>
      <c r="E17" s="40" t="inlineStr">
        <is>
          <t>Both</t>
        </is>
      </c>
      <c r="F17" s="40" t="inlineStr">
        <is>
          <t>Ready</t>
        </is>
      </c>
      <c r="G17" s="40" t="inlineStr">
        <is>
          <t>Admin manager</t>
        </is>
      </c>
      <c r="H17" s="38" t="n"/>
      <c r="I17" s="24" t="n"/>
    </row>
    <row r="18">
      <c r="B18" s="68" t="n">
        <v>7</v>
      </c>
      <c r="C18" s="40" t="inlineStr">
        <is>
          <t>2. Licenses and registration</t>
        </is>
      </c>
      <c r="D18" s="24" t="inlineStr">
        <is>
          <t>TIN and VAT registration certificates</t>
        </is>
      </c>
      <c r="E18" s="40" t="inlineStr">
        <is>
          <t>Both</t>
        </is>
      </c>
      <c r="F18" s="40" t="inlineStr">
        <is>
          <t>Ready</t>
        </is>
      </c>
      <c r="G18" s="40" t="inlineStr">
        <is>
          <t>Admin manager</t>
        </is>
      </c>
      <c r="H18" s="38" t="n"/>
      <c r="I18" s="24" t="n"/>
    </row>
    <row r="19">
      <c r="B19" s="68" t="n">
        <v>8</v>
      </c>
      <c r="C19" s="40" t="inlineStr">
        <is>
          <t>2. Licenses and registration</t>
        </is>
      </c>
      <c r="D19" s="24" t="inlineStr">
        <is>
          <t>Investment or other permits, if any</t>
        </is>
      </c>
      <c r="E19" s="40" t="inlineStr">
        <is>
          <t>Investor</t>
        </is>
      </c>
      <c r="F19" s="40" t="inlineStr">
        <is>
          <t>Not applicable</t>
        </is>
      </c>
      <c r="G19" s="40" t="inlineStr">
        <is>
          <t>Admin manager</t>
        </is>
      </c>
      <c r="H19" s="38" t="n"/>
      <c r="I19" s="24" t="n"/>
    </row>
    <row r="20" ht="33" customHeight="1">
      <c r="B20" s="68" t="n">
        <v>9</v>
      </c>
      <c r="C20" s="40" t="inlineStr">
        <is>
          <t>3. Financial</t>
        </is>
      </c>
      <c r="D20" s="24" t="inlineStr">
        <is>
          <t>Audited statements for 3 years under IFRS for SMEs, with proof of AABE filing within 4 months</t>
        </is>
      </c>
      <c r="E20" s="40" t="inlineStr">
        <is>
          <t>Both</t>
        </is>
      </c>
      <c r="F20" s="40" t="inlineStr">
        <is>
          <t>In progress</t>
        </is>
      </c>
      <c r="G20" s="40" t="inlineStr">
        <is>
          <t>Finance manager</t>
        </is>
      </c>
      <c r="H20" s="38" t="n">
        <v>46333</v>
      </c>
      <c r="I20" s="24" t="inlineStr">
        <is>
          <t>FY2025/26 audit fieldwork</t>
        </is>
      </c>
    </row>
    <row r="21">
      <c r="B21" s="68" t="n">
        <v>10</v>
      </c>
      <c r="C21" s="40" t="inlineStr">
        <is>
          <t>3. Financial</t>
        </is>
      </c>
      <c r="D21" s="24" t="inlineStr">
        <is>
          <t>Monthly management accounts, year to date</t>
        </is>
      </c>
      <c r="E21" s="40" t="inlineStr">
        <is>
          <t>Both</t>
        </is>
      </c>
      <c r="F21" s="40" t="inlineStr">
        <is>
          <t>Ready</t>
        </is>
      </c>
      <c r="G21" s="40" t="inlineStr">
        <is>
          <t>Finance manager</t>
        </is>
      </c>
      <c r="H21" s="38" t="n"/>
      <c r="I21" s="24" t="n"/>
    </row>
    <row r="22">
      <c r="B22" s="68" t="n">
        <v>11</v>
      </c>
      <c r="C22" s="40" t="inlineStr">
        <is>
          <t>3. Financial</t>
        </is>
      </c>
      <c r="D22" s="24" t="inlineStr">
        <is>
          <t>This model and the assumptions book</t>
        </is>
      </c>
      <c r="E22" s="40" t="inlineStr">
        <is>
          <t>Both</t>
        </is>
      </c>
      <c r="F22" s="40" t="inlineStr">
        <is>
          <t>Ready</t>
        </is>
      </c>
      <c r="G22" s="40" t="inlineStr">
        <is>
          <t>Finance manager</t>
        </is>
      </c>
      <c r="H22" s="38" t="n"/>
      <c r="I22" s="24" t="n"/>
    </row>
    <row r="23">
      <c r="B23" s="68" t="n">
        <v>12</v>
      </c>
      <c r="C23" s="40" t="inlineStr">
        <is>
          <t>3. Financial</t>
        </is>
      </c>
      <c r="D23" s="24" t="inlineStr">
        <is>
          <t>Reconciliation of audited to management profit</t>
        </is>
      </c>
      <c r="E23" s="40" t="inlineStr">
        <is>
          <t>Investor</t>
        </is>
      </c>
      <c r="F23" s="40" t="inlineStr">
        <is>
          <t>Ready</t>
        </is>
      </c>
      <c r="G23" s="40" t="inlineStr">
        <is>
          <t>Finance manager</t>
        </is>
      </c>
      <c r="H23" s="38" t="n"/>
      <c r="I23" s="24" t="n"/>
    </row>
    <row r="24">
      <c r="B24" s="68" t="n">
        <v>13</v>
      </c>
      <c r="C24" s="40" t="inlineStr">
        <is>
          <t>4. Debt and leases</t>
        </is>
      </c>
      <c r="D24" s="24" t="inlineStr">
        <is>
          <t>Bank A term loan and overdraft agreements and covenant certificates</t>
        </is>
      </c>
      <c r="E24" s="40" t="inlineStr">
        <is>
          <t>Both</t>
        </is>
      </c>
      <c r="F24" s="40" t="inlineStr">
        <is>
          <t>Ready</t>
        </is>
      </c>
      <c r="G24" s="40" t="inlineStr">
        <is>
          <t>Finance manager</t>
        </is>
      </c>
      <c r="H24" s="38" t="n"/>
      <c r="I24" s="24" t="n"/>
    </row>
    <row r="25" ht="33" customHeight="1">
      <c r="B25" s="68" t="n">
        <v>14</v>
      </c>
      <c r="C25" s="40" t="inlineStr">
        <is>
          <t>4. Debt and leases</t>
        </is>
      </c>
      <c r="D25" s="24" t="inlineStr">
        <is>
          <t>Lease offer and draft hire purchase agreement with Entoto Capital Goods Leasing S.C., NBE license copy of the lessor</t>
        </is>
      </c>
      <c r="E25" s="40" t="inlineStr">
        <is>
          <t>Both</t>
        </is>
      </c>
      <c r="F25" s="40" t="inlineStr">
        <is>
          <t>In progress</t>
        </is>
      </c>
      <c r="G25" s="40" t="inlineStr">
        <is>
          <t>Finance manager</t>
        </is>
      </c>
      <c r="H25" s="38" t="n">
        <v>46336</v>
      </c>
      <c r="I25" s="24" t="n"/>
    </row>
    <row r="26">
      <c r="B26" s="68" t="n">
        <v>15</v>
      </c>
      <c r="C26" s="40" t="inlineStr">
        <is>
          <t>4. Debt and leases</t>
        </is>
      </c>
      <c r="D26" s="24" t="inlineStr">
        <is>
          <t>Collateral documents</t>
        </is>
      </c>
      <c r="E26" s="40" t="inlineStr">
        <is>
          <t>Bank</t>
        </is>
      </c>
      <c r="F26" s="40" t="inlineStr">
        <is>
          <t>Ready</t>
        </is>
      </c>
      <c r="G26" s="40" t="inlineStr">
        <is>
          <t>Finance manager</t>
        </is>
      </c>
      <c r="H26" s="38" t="n"/>
      <c r="I26" s="24" t="n"/>
    </row>
    <row r="27">
      <c r="B27" s="68" t="n">
        <v>16</v>
      </c>
      <c r="C27" s="40" t="inlineStr">
        <is>
          <t>5. Tax (health check)</t>
        </is>
      </c>
      <c r="D27" s="24" t="inlineStr">
        <is>
          <t>VAT returns and payment receipts, 12 months</t>
        </is>
      </c>
      <c r="E27" s="40" t="inlineStr">
        <is>
          <t>Both</t>
        </is>
      </c>
      <c r="F27" s="40" t="inlineStr">
        <is>
          <t>Ready</t>
        </is>
      </c>
      <c r="G27" s="40" t="inlineStr">
        <is>
          <t>Tax accountant</t>
        </is>
      </c>
      <c r="H27" s="38" t="n"/>
      <c r="I27" s="24" t="n"/>
    </row>
    <row r="28" ht="33" customHeight="1">
      <c r="B28" s="68" t="n">
        <v>17</v>
      </c>
      <c r="C28" s="40" t="inlineStr">
        <is>
          <t>5. Tax (health check)</t>
        </is>
      </c>
      <c r="D28" s="24" t="inlineStr">
        <is>
          <t>Withholding records at 3% for goods above Birr 20,000 and services above Birr 10,000, with corrections for 9 service payments after 7 August 2025</t>
        </is>
      </c>
      <c r="E28" s="40" t="inlineStr">
        <is>
          <t>Both</t>
        </is>
      </c>
      <c r="F28" s="40" t="inlineStr">
        <is>
          <t>In progress</t>
        </is>
      </c>
      <c r="G28" s="40" t="inlineStr">
        <is>
          <t>Tax accountant</t>
        </is>
      </c>
      <c r="H28" s="38" t="n">
        <v>46326</v>
      </c>
      <c r="I28" s="24" t="n"/>
    </row>
    <row r="29">
      <c r="B29" s="68" t="n">
        <v>18</v>
      </c>
      <c r="C29" s="40" t="inlineStr">
        <is>
          <t>5. Tax (health check)</t>
        </is>
      </c>
      <c r="D29" s="24" t="inlineStr">
        <is>
          <t>PAYE and pension records and receipts</t>
        </is>
      </c>
      <c r="E29" s="40" t="inlineStr">
        <is>
          <t>Both</t>
        </is>
      </c>
      <c r="F29" s="40" t="inlineStr">
        <is>
          <t>Ready</t>
        </is>
      </c>
      <c r="G29" s="40" t="inlineStr">
        <is>
          <t>Tax accountant</t>
        </is>
      </c>
      <c r="H29" s="38" t="n"/>
      <c r="I29" s="24" t="n"/>
    </row>
    <row r="30">
      <c r="B30" s="68" t="n">
        <v>19</v>
      </c>
      <c r="C30" s="40" t="inlineStr">
        <is>
          <t>5. Tax (health check)</t>
        </is>
      </c>
      <c r="D30" s="24" t="inlineStr">
        <is>
          <t>Quarterly advance tax receipts</t>
        </is>
      </c>
      <c r="E30" s="40" t="inlineStr">
        <is>
          <t>Both</t>
        </is>
      </c>
      <c r="F30" s="40" t="inlineStr">
        <is>
          <t>Ready</t>
        </is>
      </c>
      <c r="G30" s="40" t="inlineStr">
        <is>
          <t>Tax accountant</t>
        </is>
      </c>
      <c r="H30" s="38" t="n"/>
      <c r="I30" s="24" t="n"/>
    </row>
    <row r="31">
      <c r="B31" s="68" t="n">
        <v>20</v>
      </c>
      <c r="C31" s="40" t="inlineStr">
        <is>
          <t>5. Tax (health check)</t>
        </is>
      </c>
      <c r="D31" s="24" t="inlineStr">
        <is>
          <t>Annual returns and assessments</t>
        </is>
      </c>
      <c r="E31" s="40" t="inlineStr">
        <is>
          <t>Both</t>
        </is>
      </c>
      <c r="F31" s="40" t="inlineStr">
        <is>
          <t>Ready</t>
        </is>
      </c>
      <c r="G31" s="40" t="inlineStr">
        <is>
          <t>Tax accountant</t>
        </is>
      </c>
      <c r="H31" s="38" t="n"/>
      <c r="I31" s="24" t="n"/>
    </row>
    <row r="32" ht="33" customHeight="1">
      <c r="B32" s="68" t="n">
        <v>21</v>
      </c>
      <c r="C32" s="40" t="inlineStr">
        <is>
          <t>5. Tax (health check)</t>
        </is>
      </c>
      <c r="D32" s="24" t="inlineStr">
        <is>
          <t>VAT audit assessment of Birr 1,400 thousand and the objection filed within 21 days, with the adviser's view</t>
        </is>
      </c>
      <c r="E32" s="40" t="inlineStr">
        <is>
          <t>Both</t>
        </is>
      </c>
      <c r="F32" s="40" t="inlineStr">
        <is>
          <t>Ready</t>
        </is>
      </c>
      <c r="G32" s="40" t="inlineStr">
        <is>
          <t>Tax accountant</t>
        </is>
      </c>
      <c r="H32" s="38" t="n"/>
      <c r="I32" s="24" t="inlineStr">
        <is>
          <t>Disclosed</t>
        </is>
      </c>
    </row>
    <row r="33" ht="33" customHeight="1">
      <c r="B33" s="68" t="n">
        <v>22</v>
      </c>
      <c r="C33" s="40" t="inlineStr">
        <is>
          <t>5. Tax (health check)</t>
        </is>
      </c>
      <c r="D33" s="24" t="inlineStr">
        <is>
          <t>Review of cash payments above Birr 50,000: Birr 180 thousand treated as non-deductible</t>
        </is>
      </c>
      <c r="E33" s="40" t="inlineStr">
        <is>
          <t>Both</t>
        </is>
      </c>
      <c r="F33" s="40" t="inlineStr">
        <is>
          <t>Ready</t>
        </is>
      </c>
      <c r="G33" s="40" t="inlineStr">
        <is>
          <t>Tax accountant</t>
        </is>
      </c>
      <c r="H33" s="38" t="n"/>
      <c r="I33" s="24" t="n"/>
    </row>
    <row r="34">
      <c r="B34" s="68" t="n">
        <v>23</v>
      </c>
      <c r="C34" s="40" t="inlineStr">
        <is>
          <t>5. Tax (health check)</t>
        </is>
      </c>
      <c r="D34" s="24" t="inlineStr">
        <is>
          <t>Tax clearance</t>
        </is>
      </c>
      <c r="E34" s="40" t="inlineStr">
        <is>
          <t>Both</t>
        </is>
      </c>
      <c r="F34" s="40" t="inlineStr">
        <is>
          <t>In progress</t>
        </is>
      </c>
      <c r="G34" s="40" t="inlineStr">
        <is>
          <t>Tax accountant</t>
        </is>
      </c>
      <c r="H34" s="38" t="n">
        <v>46346</v>
      </c>
      <c r="I34" s="24" t="n"/>
    </row>
    <row r="35">
      <c r="B35" s="68" t="n">
        <v>24</v>
      </c>
      <c r="C35" s="40" t="inlineStr">
        <is>
          <t>6. Commercial</t>
        </is>
      </c>
      <c r="D35" s="24" t="inlineStr">
        <is>
          <t>Top 10 customer contracts and price review clauses</t>
        </is>
      </c>
      <c r="E35" s="40" t="inlineStr">
        <is>
          <t>Investor</t>
        </is>
      </c>
      <c r="F35" s="40" t="inlineStr">
        <is>
          <t>Ready</t>
        </is>
      </c>
      <c r="G35" s="40" t="inlineStr">
        <is>
          <t>Sales manager</t>
        </is>
      </c>
      <c r="H35" s="38" t="n"/>
      <c r="I35" s="24" t="n"/>
    </row>
    <row r="36">
      <c r="B36" s="68" t="n">
        <v>25</v>
      </c>
      <c r="C36" s="40" t="inlineStr">
        <is>
          <t>6. Commercial</t>
        </is>
      </c>
      <c r="D36" s="24" t="inlineStr">
        <is>
          <t>Top 10 supplier contracts, kraft paper import terms</t>
        </is>
      </c>
      <c r="E36" s="40" t="inlineStr">
        <is>
          <t>Investor</t>
        </is>
      </c>
      <c r="F36" s="40" t="inlineStr">
        <is>
          <t>Ready</t>
        </is>
      </c>
      <c r="G36" s="40" t="inlineStr">
        <is>
          <t>Sales manager</t>
        </is>
      </c>
      <c r="H36" s="38" t="n"/>
      <c r="I36" s="24" t="n"/>
    </row>
    <row r="37">
      <c r="B37" s="68" t="n">
        <v>26</v>
      </c>
      <c r="C37" s="40" t="inlineStr">
        <is>
          <t>6. Commercial</t>
        </is>
      </c>
      <c r="D37" s="24" t="inlineStr">
        <is>
          <t>Order book and pipeline</t>
        </is>
      </c>
      <c r="E37" s="40" t="inlineStr">
        <is>
          <t>Both</t>
        </is>
      </c>
      <c r="F37" s="40" t="inlineStr">
        <is>
          <t>Ready</t>
        </is>
      </c>
      <c r="G37" s="40" t="inlineStr">
        <is>
          <t>Sales manager</t>
        </is>
      </c>
      <c r="H37" s="38" t="n"/>
      <c r="I37" s="24" t="n"/>
    </row>
    <row r="38">
      <c r="B38" s="68" t="n">
        <v>27</v>
      </c>
      <c r="C38" s="40" t="inlineStr">
        <is>
          <t>6. Commercial</t>
        </is>
      </c>
      <c r="D38" s="24" t="inlineStr">
        <is>
          <t>Sales by customer for concentration analysis</t>
        </is>
      </c>
      <c r="E38" s="40" t="inlineStr">
        <is>
          <t>Both</t>
        </is>
      </c>
      <c r="F38" s="40" t="inlineStr">
        <is>
          <t>Ready</t>
        </is>
      </c>
      <c r="G38" s="40" t="inlineStr">
        <is>
          <t>Sales manager</t>
        </is>
      </c>
      <c r="H38" s="38" t="n"/>
      <c r="I38" s="24" t="n"/>
    </row>
    <row r="39">
      <c r="B39" s="68" t="n">
        <v>28</v>
      </c>
      <c r="C39" s="40" t="inlineStr">
        <is>
          <t>7. People</t>
        </is>
      </c>
      <c r="D39" s="24" t="inlineStr">
        <is>
          <t>Organization chart</t>
        </is>
      </c>
      <c r="E39" s="40" t="inlineStr">
        <is>
          <t>Investor</t>
        </is>
      </c>
      <c r="F39" s="40" t="inlineStr">
        <is>
          <t>Ready</t>
        </is>
      </c>
      <c r="G39" s="40" t="inlineStr">
        <is>
          <t>HR officer</t>
        </is>
      </c>
      <c r="H39" s="38" t="n"/>
      <c r="I39" s="24" t="n"/>
    </row>
    <row r="40">
      <c r="B40" s="68" t="n">
        <v>29</v>
      </c>
      <c r="C40" s="40" t="inlineStr">
        <is>
          <t>7. People</t>
        </is>
      </c>
      <c r="D40" s="24" t="inlineStr">
        <is>
          <t>Employment contracts for key staff</t>
        </is>
      </c>
      <c r="E40" s="40" t="inlineStr">
        <is>
          <t>Investor</t>
        </is>
      </c>
      <c r="F40" s="40" t="inlineStr">
        <is>
          <t>Ready</t>
        </is>
      </c>
      <c r="G40" s="40" t="inlineStr">
        <is>
          <t>HR officer</t>
        </is>
      </c>
      <c r="H40" s="38" t="n"/>
      <c r="I40" s="24" t="n"/>
    </row>
    <row r="41">
      <c r="B41" s="68" t="n">
        <v>30</v>
      </c>
      <c r="C41" s="40" t="inlineStr">
        <is>
          <t>7. People</t>
        </is>
      </c>
      <c r="D41" s="24" t="inlineStr">
        <is>
          <t>Payroll summary and pension registration</t>
        </is>
      </c>
      <c r="E41" s="40" t="inlineStr">
        <is>
          <t>Both</t>
        </is>
      </c>
      <c r="F41" s="40" t="inlineStr">
        <is>
          <t>Ready</t>
        </is>
      </c>
      <c r="G41" s="40" t="inlineStr">
        <is>
          <t>HR officer</t>
        </is>
      </c>
      <c r="H41" s="38" t="n"/>
      <c r="I41" s="24" t="n"/>
    </row>
    <row r="42">
      <c r="B42" s="68" t="n">
        <v>31</v>
      </c>
      <c r="C42" s="40" t="inlineStr">
        <is>
          <t>7. People</t>
        </is>
      </c>
      <c r="D42" s="24" t="inlineStr">
        <is>
          <t>HR policies and controls manual</t>
        </is>
      </c>
      <c r="E42" s="40" t="inlineStr">
        <is>
          <t>Investor</t>
        </is>
      </c>
      <c r="F42" s="40" t="inlineStr">
        <is>
          <t>Missing</t>
        </is>
      </c>
      <c r="G42" s="40" t="inlineStr">
        <is>
          <t>HR officer</t>
        </is>
      </c>
      <c r="H42" s="38" t="n">
        <v>46371</v>
      </c>
      <c r="I42" s="24" t="n"/>
    </row>
    <row r="43">
      <c r="B43" s="68" t="n">
        <v>32</v>
      </c>
      <c r="C43" s="40" t="inlineStr">
        <is>
          <t>8. Assets, environment and social</t>
        </is>
      </c>
      <c r="D43" s="24" t="inlineStr">
        <is>
          <t>Fixed asset register</t>
        </is>
      </c>
      <c r="E43" s="40" t="inlineStr">
        <is>
          <t>Both</t>
        </is>
      </c>
      <c r="F43" s="40" t="inlineStr">
        <is>
          <t>Ready</t>
        </is>
      </c>
      <c r="G43" s="40" t="inlineStr">
        <is>
          <t>Production manager</t>
        </is>
      </c>
      <c r="H43" s="38" t="n"/>
      <c r="I43" s="24" t="n"/>
    </row>
    <row r="44">
      <c r="B44" s="68" t="n">
        <v>33</v>
      </c>
      <c r="C44" s="40" t="inlineStr">
        <is>
          <t>8. Assets, environment and social</t>
        </is>
      </c>
      <c r="D44" s="24" t="inlineStr">
        <is>
          <t>Insurance policies, including the new line</t>
        </is>
      </c>
      <c r="E44" s="40" t="inlineStr">
        <is>
          <t>Both</t>
        </is>
      </c>
      <c r="F44" s="40" t="inlineStr">
        <is>
          <t>In progress</t>
        </is>
      </c>
      <c r="G44" s="40" t="inlineStr">
        <is>
          <t>Production manager</t>
        </is>
      </c>
      <c r="H44" s="38" t="n">
        <v>46356</v>
      </c>
      <c r="I44" s="24" t="n"/>
    </row>
    <row r="45">
      <c r="B45" s="68" t="n">
        <v>34</v>
      </c>
      <c r="C45" s="40" t="inlineStr">
        <is>
          <t>8. Assets, environment and social</t>
        </is>
      </c>
      <c r="D45" s="24" t="inlineStr">
        <is>
          <t>Environmental permits and waste paper and glue handling plan</t>
        </is>
      </c>
      <c r="E45" s="40" t="inlineStr">
        <is>
          <t>Investor</t>
        </is>
      </c>
      <c r="F45" s="40" t="inlineStr">
        <is>
          <t>Missing</t>
        </is>
      </c>
      <c r="G45" s="40" t="inlineStr">
        <is>
          <t>Production manager</t>
        </is>
      </c>
      <c r="H45" s="38" t="n">
        <v>46371</v>
      </c>
      <c r="I45" s="24" t="n"/>
    </row>
    <row r="46">
      <c r="B46" s="68" t="n">
        <v>35</v>
      </c>
      <c r="C46" s="40" t="inlineStr">
        <is>
          <t>8. Assets, environment and social</t>
        </is>
      </c>
      <c r="D46" s="24" t="inlineStr">
        <is>
          <t>Environmental and social action plan for the fund</t>
        </is>
      </c>
      <c r="E46" s="40" t="inlineStr">
        <is>
          <t>Investor</t>
        </is>
      </c>
      <c r="F46" s="40" t="inlineStr">
        <is>
          <t>In progress</t>
        </is>
      </c>
      <c r="G46" s="40" t="inlineStr">
        <is>
          <t>Production manager</t>
        </is>
      </c>
      <c r="H46" s="38" t="n">
        <v>46357</v>
      </c>
      <c r="I46" s="24" t="n"/>
    </row>
    <row r="47">
      <c r="B47" s="68" t="n">
        <v>36</v>
      </c>
      <c r="C47" s="40" t="inlineStr">
        <is>
          <t>9. Normalization evidence</t>
        </is>
      </c>
      <c r="D47" s="24" t="inlineStr">
        <is>
          <t>Rent agreement with the shareholder and market rent letter</t>
        </is>
      </c>
      <c r="E47" s="40" t="inlineStr">
        <is>
          <t>Investor</t>
        </is>
      </c>
      <c r="F47" s="40" t="inlineStr">
        <is>
          <t>Ready</t>
        </is>
      </c>
      <c r="G47" s="40" t="inlineStr">
        <is>
          <t>Finance manager</t>
        </is>
      </c>
      <c r="H47" s="38" t="n"/>
      <c r="I47" s="24" t="n"/>
    </row>
    <row r="48">
      <c r="B48" s="68" t="n">
        <v>37</v>
      </c>
      <c r="C48" s="40" t="inlineStr">
        <is>
          <t>9. Normalization evidence</t>
        </is>
      </c>
      <c r="D48" s="24" t="inlineStr">
        <is>
          <t>Relocation invoices</t>
        </is>
      </c>
      <c r="E48" s="40" t="inlineStr">
        <is>
          <t>Investor</t>
        </is>
      </c>
      <c r="F48" s="40" t="inlineStr">
        <is>
          <t>Ready</t>
        </is>
      </c>
      <c r="G48" s="40" t="inlineStr">
        <is>
          <t>Finance manager</t>
        </is>
      </c>
      <c r="H48" s="38" t="n"/>
      <c r="I48" s="24" t="n"/>
    </row>
    <row r="49">
      <c r="B49" s="68" t="n">
        <v>38</v>
      </c>
      <c r="C49" s="40" t="inlineStr">
        <is>
          <t>9. Normalization evidence</t>
        </is>
      </c>
      <c r="D49" s="24" t="inlineStr">
        <is>
          <t>Schedule of owner costs</t>
        </is>
      </c>
      <c r="E49" s="40" t="inlineStr">
        <is>
          <t>Investor</t>
        </is>
      </c>
      <c r="F49" s="40" t="inlineStr">
        <is>
          <t>Ready</t>
        </is>
      </c>
      <c r="G49" s="40" t="inlineStr">
        <is>
          <t>Finance manager</t>
        </is>
      </c>
      <c r="H49" s="38" t="n"/>
      <c r="I49" s="24" t="n"/>
    </row>
    <row r="50">
      <c r="C50" s="40" t="n"/>
      <c r="D50" s="40" t="n"/>
      <c r="E50" s="40" t="n"/>
      <c r="F50" s="40" t="n"/>
      <c r="G50" s="40" t="n"/>
      <c r="H50" s="38" t="n"/>
      <c r="I50" s="40" t="n"/>
    </row>
    <row r="51">
      <c r="C51" s="40" t="n"/>
      <c r="D51" s="40" t="n"/>
      <c r="E51" s="40" t="n"/>
      <c r="F51" s="40" t="n"/>
      <c r="G51" s="40" t="n"/>
      <c r="H51" s="38" t="n"/>
      <c r="I51" s="40" t="n"/>
    </row>
    <row r="52">
      <c r="C52" s="40" t="n"/>
      <c r="D52" s="40" t="n"/>
      <c r="E52" s="40" t="n"/>
      <c r="F52" s="40" t="n"/>
      <c r="G52" s="40" t="n"/>
      <c r="H52" s="38" t="n"/>
      <c r="I52" s="40" t="n"/>
    </row>
    <row r="53">
      <c r="C53" s="40" t="n"/>
      <c r="D53" s="40" t="n"/>
      <c r="E53" s="40" t="n"/>
      <c r="F53" s="40" t="n"/>
      <c r="G53" s="40" t="n"/>
      <c r="H53" s="38" t="n"/>
      <c r="I53" s="40" t="n"/>
    </row>
    <row r="54">
      <c r="C54" s="40" t="n"/>
      <c r="D54" s="40" t="n"/>
      <c r="E54" s="40" t="n"/>
      <c r="F54" s="40" t="n"/>
      <c r="G54" s="40" t="n"/>
      <c r="H54" s="38" t="n"/>
      <c r="I54" s="40" t="n"/>
    </row>
    <row r="55">
      <c r="C55" s="40" t="n"/>
      <c r="D55" s="40" t="n"/>
      <c r="E55" s="40" t="n"/>
      <c r="F55" s="40" t="n"/>
      <c r="G55" s="40" t="n"/>
      <c r="H55" s="38" t="n"/>
      <c r="I55" s="40" t="n"/>
    </row>
    <row r="56">
      <c r="C56" s="40" t="n"/>
      <c r="D56" s="40" t="n"/>
      <c r="E56" s="40" t="n"/>
      <c r="F56" s="40" t="n"/>
      <c r="G56" s="40" t="n"/>
      <c r="H56" s="38" t="n"/>
      <c r="I56" s="40" t="n"/>
    </row>
    <row r="57">
      <c r="C57" s="40" t="n"/>
      <c r="D57" s="40" t="n"/>
      <c r="E57" s="40" t="n"/>
      <c r="F57" s="40" t="n"/>
      <c r="G57" s="40" t="n"/>
      <c r="H57" s="38" t="n"/>
      <c r="I57" s="40" t="n"/>
    </row>
    <row r="58">
      <c r="C58" s="40" t="n"/>
      <c r="D58" s="40" t="n"/>
      <c r="E58" s="40" t="n"/>
      <c r="F58" s="40" t="n"/>
      <c r="G58" s="40" t="n"/>
      <c r="H58" s="38" t="n"/>
      <c r="I58" s="40" t="n"/>
    </row>
    <row r="59">
      <c r="C59" s="40" t="n"/>
      <c r="D59" s="40" t="n"/>
      <c r="E59" s="40" t="n"/>
      <c r="F59" s="40" t="n"/>
      <c r="G59" s="40" t="n"/>
      <c r="H59" s="38" t="n"/>
      <c r="I59" s="40" t="n"/>
    </row>
    <row r="60">
      <c r="C60" s="40" t="n"/>
      <c r="D60" s="40" t="n"/>
      <c r="E60" s="40" t="n"/>
      <c r="F60" s="40" t="n"/>
      <c r="G60" s="40" t="n"/>
      <c r="H60" s="38" t="n"/>
      <c r="I60" s="40" t="n"/>
    </row>
    <row r="61">
      <c r="C61" s="40" t="n"/>
      <c r="D61" s="40" t="n"/>
      <c r="E61" s="40" t="n"/>
      <c r="F61" s="40" t="n"/>
      <c r="G61" s="40" t="n"/>
      <c r="H61" s="38" t="n"/>
      <c r="I61" s="40" t="n"/>
    </row>
    <row r="62">
      <c r="C62" s="40" t="n"/>
      <c r="D62" s="40" t="n"/>
      <c r="E62" s="40" t="n"/>
      <c r="F62" s="40" t="n"/>
      <c r="G62" s="40" t="n"/>
      <c r="H62" s="38" t="n"/>
      <c r="I62" s="40" t="n"/>
    </row>
    <row r="63">
      <c r="C63" s="40" t="n"/>
      <c r="D63" s="40" t="n"/>
      <c r="E63" s="40" t="n"/>
      <c r="F63" s="40" t="n"/>
      <c r="G63" s="40" t="n"/>
      <c r="H63" s="38" t="n"/>
      <c r="I63" s="40" t="n"/>
    </row>
    <row r="64">
      <c r="C64" s="40" t="n"/>
      <c r="D64" s="40" t="n"/>
      <c r="E64" s="40" t="n"/>
      <c r="F64" s="40" t="n"/>
      <c r="G64" s="40" t="n"/>
      <c r="H64" s="38" t="n"/>
      <c r="I64" s="40" t="n"/>
    </row>
    <row r="65">
      <c r="C65" s="40" t="n"/>
      <c r="D65" s="40" t="n"/>
      <c r="E65" s="40" t="n"/>
      <c r="F65" s="40" t="n"/>
      <c r="G65" s="40" t="n"/>
      <c r="H65" s="38" t="n"/>
      <c r="I65" s="40" t="n"/>
    </row>
    <row r="66">
      <c r="C66" s="40" t="n"/>
      <c r="D66" s="40" t="n"/>
      <c r="E66" s="40" t="n"/>
      <c r="F66" s="40" t="n"/>
      <c r="G66" s="40" t="n"/>
      <c r="H66" s="38" t="n"/>
      <c r="I66" s="40" t="n"/>
    </row>
    <row r="67">
      <c r="C67" s="40" t="n"/>
      <c r="D67" s="40" t="n"/>
      <c r="E67" s="40" t="n"/>
      <c r="F67" s="40" t="n"/>
      <c r="G67" s="40" t="n"/>
      <c r="H67" s="38" t="n"/>
      <c r="I67" s="40" t="n"/>
    </row>
    <row r="68">
      <c r="C68" s="40" t="n"/>
      <c r="D68" s="40" t="n"/>
      <c r="E68" s="40" t="n"/>
      <c r="F68" s="40" t="n"/>
      <c r="G68" s="40" t="n"/>
      <c r="H68" s="38" t="n"/>
      <c r="I68" s="40" t="n"/>
    </row>
    <row r="69">
      <c r="C69" s="40" t="n"/>
      <c r="D69" s="40" t="n"/>
      <c r="E69" s="40" t="n"/>
      <c r="F69" s="40" t="n"/>
      <c r="G69" s="40" t="n"/>
      <c r="H69" s="38" t="n"/>
      <c r="I69" s="40" t="n"/>
    </row>
    <row r="70">
      <c r="C70" s="40" t="n"/>
      <c r="D70" s="40" t="n"/>
      <c r="E70" s="40" t="n"/>
      <c r="F70" s="40" t="n"/>
      <c r="G70" s="40" t="n"/>
      <c r="H70" s="38" t="n"/>
      <c r="I70" s="40" t="n"/>
    </row>
    <row r="71">
      <c r="C71" s="40" t="n"/>
      <c r="D71" s="40" t="n"/>
      <c r="E71" s="40" t="n"/>
      <c r="F71" s="40" t="n"/>
      <c r="G71" s="40" t="n"/>
      <c r="H71" s="38" t="n"/>
      <c r="I71" s="40" t="n"/>
    </row>
    <row r="72">
      <c r="C72" s="40" t="n"/>
      <c r="D72" s="40" t="n"/>
      <c r="E72" s="40" t="n"/>
      <c r="F72" s="40" t="n"/>
      <c r="G72" s="40" t="n"/>
      <c r="H72" s="38" t="n"/>
      <c r="I72" s="40" t="n"/>
    </row>
    <row r="73">
      <c r="C73" s="40" t="n"/>
      <c r="D73" s="40" t="n"/>
      <c r="E73" s="40" t="n"/>
      <c r="F73" s="40" t="n"/>
      <c r="G73" s="40" t="n"/>
      <c r="H73" s="38" t="n"/>
      <c r="I73" s="40" t="n"/>
    </row>
    <row r="74">
      <c r="C74" s="40" t="n"/>
      <c r="D74" s="40" t="n"/>
      <c r="E74" s="40" t="n"/>
      <c r="F74" s="40" t="n"/>
      <c r="G74" s="40" t="n"/>
      <c r="H74" s="38" t="n"/>
      <c r="I74" s="40" t="n"/>
    </row>
    <row r="75">
      <c r="C75" s="40" t="n"/>
      <c r="D75" s="40" t="n"/>
      <c r="E75" s="40" t="n"/>
      <c r="F75" s="40" t="n"/>
      <c r="G75" s="40" t="n"/>
      <c r="H75" s="38" t="n"/>
      <c r="I75" s="40" t="n"/>
    </row>
    <row r="76">
      <c r="C76" s="40" t="n"/>
      <c r="D76" s="40" t="n"/>
      <c r="E76" s="40" t="n"/>
      <c r="F76" s="40" t="n"/>
      <c r="G76" s="40" t="n"/>
      <c r="H76" s="38" t="n"/>
      <c r="I76" s="40" t="n"/>
    </row>
    <row r="77">
      <c r="C77" s="40" t="n"/>
      <c r="D77" s="40" t="n"/>
      <c r="E77" s="40" t="n"/>
      <c r="F77" s="40" t="n"/>
      <c r="G77" s="40" t="n"/>
      <c r="H77" s="38" t="n"/>
      <c r="I77" s="40" t="n"/>
    </row>
    <row r="78">
      <c r="C78" s="40" t="n"/>
      <c r="D78" s="40" t="n"/>
      <c r="E78" s="40" t="n"/>
      <c r="F78" s="40" t="n"/>
      <c r="G78" s="40" t="n"/>
      <c r="H78" s="38" t="n"/>
      <c r="I78" s="40" t="n"/>
    </row>
    <row r="79">
      <c r="C79" s="40" t="n"/>
      <c r="D79" s="40" t="n"/>
      <c r="E79" s="40" t="n"/>
      <c r="F79" s="40" t="n"/>
      <c r="G79" s="40" t="n"/>
      <c r="H79" s="38" t="n"/>
      <c r="I79" s="40" t="n"/>
    </row>
    <row r="80">
      <c r="C80" s="40" t="n"/>
      <c r="D80" s="40" t="n"/>
      <c r="E80" s="40" t="n"/>
      <c r="F80" s="40" t="n"/>
      <c r="G80" s="40" t="n"/>
      <c r="H80" s="38" t="n"/>
      <c r="I80" s="40" t="n"/>
    </row>
    <row r="81"/>
    <row r="82" ht="22" customHeight="1">
      <c r="A82" s="14" t="inlineStr">
        <is>
          <t>Investopia Academy · A platform by Erudite Africa Investments PLC · investopia.et</t>
        </is>
      </c>
      <c r="B82" s="15" t="n"/>
      <c r="C82" s="15" t="n"/>
      <c r="D82" s="15" t="n"/>
      <c r="E82" s="15" t="n"/>
      <c r="F82" s="15" t="n"/>
      <c r="G82" s="15" t="n"/>
      <c r="H82" s="15" t="n"/>
      <c r="I82" s="15" t="n"/>
    </row>
  </sheetData>
  <mergeCells count="1">
    <mergeCell ref="A82:I82"/>
  </mergeCells>
  <conditionalFormatting sqref="F12:F80">
    <cfRule type="expression" priority="1" dxfId="4">
      <formula>F12="Missing"</formula>
    </cfRule>
    <cfRule type="expression" priority="2" dxfId="3">
      <formula>F12="In progress"</formula>
    </cfRule>
    <cfRule type="expression" priority="3" dxfId="2">
      <formula>F12="Ready"</formula>
    </cfRule>
  </conditionalFormatting>
  <dataValidations count="2">
    <dataValidation sqref="F12:F80" showDropDown="0" showInputMessage="0" showErrorMessage="0" allowBlank="1" errorTitle="Invalid entry" error="Choose a value from the list." type="list">
      <formula1>"Ready,In progress,Missing,Not applicable"</formula1>
    </dataValidation>
    <dataValidation sqref="E12:E80" showDropDown="0" showInputMessage="0" showErrorMessage="0" allowBlank="1" errorTitle="Invalid entry" error="Choose a value from the list." type="list">
      <formula1>"Investor,Bank,Both"</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10.xml><?xml version="1.0" encoding="utf-8"?>
<worksheet xmlns="http://schemas.openxmlformats.org/spreadsheetml/2006/main">
  <sheetPr>
    <tabColor rgb="000F4C3A"/>
    <outlinePr summaryBelow="1" summaryRight="1"/>
    <pageSetUpPr fitToPage="1"/>
  </sheetPr>
  <dimension ref="A1:G21"/>
  <sheetViews>
    <sheetView showGridLines="0" workbookViewId="0">
      <selection activeCell="A1" sqref="A1"/>
    </sheetView>
  </sheetViews>
  <sheetFormatPr baseColWidth="8" defaultRowHeight="15"/>
  <cols>
    <col width="2" customWidth="1" min="1" max="1"/>
    <col width="58" customWidth="1" min="2" max="2"/>
    <col width="12" customWidth="1" min="3" max="3"/>
    <col width="12" customWidth="1" min="4" max="4"/>
    <col width="12" customWidth="1" min="5" max="5"/>
    <col width="12" customWidth="1" min="6" max="6"/>
    <col width="52" customWidth="1" min="7" max="7"/>
  </cols>
  <sheetData>
    <row r="1" ht="26" customHeight="1">
      <c r="A1" s="1" t="inlineStr">
        <is>
          <t>Checks (each must be 0 in all three scenarios)</t>
        </is>
      </c>
      <c r="B1" s="2" t="n"/>
      <c r="C1" s="2" t="n"/>
      <c r="D1" s="2" t="n"/>
      <c r="E1" s="2" t="n"/>
      <c r="F1" s="2" t="n"/>
      <c r="G1" s="2" t="n"/>
    </row>
    <row r="2">
      <c r="A2" s="31">
        <f>"Scenario now: "&amp;Assumptions!D4&amp;". Switch Assumptions!C4 to 1, 2 and 3 and confirm TotalCheck = 0 each time."</f>
        <v/>
      </c>
    </row>
    <row r="3"/>
    <row r="4" ht="20" customHeight="1">
      <c r="B4" s="11" t="inlineStr">
        <is>
          <t>Check</t>
        </is>
      </c>
      <c r="C4" s="11" t="inlineStr">
        <is>
          <t>Year 0</t>
        </is>
      </c>
      <c r="D4" s="11" t="inlineStr">
        <is>
          <t>Year 1</t>
        </is>
      </c>
      <c r="E4" s="11" t="inlineStr">
        <is>
          <t>Year 2</t>
        </is>
      </c>
      <c r="F4" s="11" t="inlineStr">
        <is>
          <t>Year 3</t>
        </is>
      </c>
      <c r="G4" s="11" t="inlineStr">
        <is>
          <t>Notes</t>
        </is>
      </c>
    </row>
    <row r="5">
      <c r="B5" s="13" t="inlineStr">
        <is>
          <t>Balance sheet: total assets minus liabilities and equity</t>
        </is>
      </c>
      <c r="C5" s="25">
        <f>Statements!C36</f>
        <v/>
      </c>
      <c r="D5" s="25">
        <f>Statements!D36</f>
        <v/>
      </c>
      <c r="E5" s="25">
        <f>Statements!E36</f>
        <v/>
      </c>
      <c r="F5" s="25">
        <f>Statements!F36</f>
        <v/>
      </c>
    </row>
    <row r="6">
      <c r="B6" s="13" t="inlineStr">
        <is>
          <t>Cash: balance sheet cash minus cash flow closing cash</t>
        </is>
      </c>
      <c r="C6" s="25">
        <f>Statements!C27-Assumptions!C18</f>
        <v/>
      </c>
      <c r="D6" s="25">
        <f>Statements!D27-Statements!D52</f>
        <v/>
      </c>
      <c r="E6" s="25">
        <f>Statements!E27-Statements!E52</f>
        <v/>
      </c>
      <c r="F6" s="25">
        <f>Statements!F27-Statements!F52</f>
        <v/>
      </c>
    </row>
    <row r="7">
      <c r="B7" s="13" t="inlineStr">
        <is>
          <t>Debt: balance sheet debt minus schedule closing balances</t>
        </is>
      </c>
      <c r="C7" s="25">
        <f>Statements!C30+Statements!C31+Statements!C32-(Assumptions!C20+Assumptions!C21+Assumptions!C22)</f>
        <v/>
      </c>
      <c r="D7" s="25">
        <f>Statements!D30+Statements!D31+Statements!D32-('Loan and Lease'!H6+'Loan and Lease'!H12+'Loan and Lease'!H22)</f>
        <v/>
      </c>
      <c r="E7" s="25">
        <f>Statements!E30+Statements!E31+Statements!E32-('Loan and Lease'!H7+'Loan and Lease'!H13+'Loan and Lease'!H23)</f>
        <v/>
      </c>
      <c r="F7" s="25">
        <f>Statements!F30+Statements!F31+Statements!F32-('Loan and Lease'!H8+'Loan and Lease'!H14+'Loan and Lease'!H24)</f>
        <v/>
      </c>
    </row>
    <row r="8" ht="33" customHeight="1">
      <c r="B8" s="13" t="inlineStr">
        <is>
          <t>Sources minus uses (Year 1 expansion)</t>
        </is>
      </c>
      <c r="D8" s="25">
        <f>C16-C19</f>
        <v/>
      </c>
      <c r="G8" s="35" t="inlineStr">
        <is>
          <t>Sources 44,000 = lease 24,000 + equity 20,000; uses 44,000 = line 30,000 + buffer 14,000.</t>
        </is>
      </c>
    </row>
    <row r="9">
      <c r="B9" s="13" t="inlineStr">
        <is>
          <t>Revenue build: volume x price minus base case revenue</t>
        </is>
      </c>
      <c r="D9" s="25">
        <f>Assumptions!D89</f>
        <v/>
      </c>
      <c r="E9" s="25">
        <f>Assumptions!E89</f>
        <v/>
      </c>
      <c r="F9" s="25">
        <f>Assumptions!F89</f>
        <v/>
      </c>
      <c r="G9" s="35" t="inlineStr">
        <is>
          <t>Assumptions rows 84 to 89.</t>
        </is>
      </c>
    </row>
    <row r="10" ht="33" customHeight="1">
      <c r="B10" s="13" t="inlineStr">
        <is>
          <t>Lease fully repaid at the end of the term (closing balance, Year 5)</t>
        </is>
      </c>
      <c r="C10" s="25">
        <f>'Loan and Lease'!H26</f>
        <v/>
      </c>
    </row>
    <row r="11">
      <c r="B11" s="5" t="inlineStr">
        <is>
          <t>TotalCheck (named): sum of absolute values above</t>
        </is>
      </c>
      <c r="C11" s="20">
        <f>SUMPRODUCT(ABS(C5:F10))</f>
        <v/>
      </c>
    </row>
    <row r="12"/>
    <row r="13">
      <c r="B13" s="4" t="inlineStr">
        <is>
          <t>Sources and uses, Year 1 expansion</t>
        </is>
      </c>
    </row>
    <row r="14">
      <c r="B14" s="13" t="inlineStr">
        <is>
          <t>Source: capital goods lease (LeaseAmt)</t>
        </is>
      </c>
      <c r="C14" s="25">
        <f>LeaseAmt</f>
        <v/>
      </c>
    </row>
    <row r="15">
      <c r="B15" s="13" t="inlineStr">
        <is>
          <t>Source: new equity (EquityIn)</t>
        </is>
      </c>
      <c r="C15" s="25">
        <f>EquityIn</f>
        <v/>
      </c>
    </row>
    <row r="16">
      <c r="B16" s="5" t="inlineStr">
        <is>
          <t>Total sources</t>
        </is>
      </c>
      <c r="C16" s="20">
        <f>C14+C15</f>
        <v/>
      </c>
    </row>
    <row r="17">
      <c r="B17" s="13" t="inlineStr">
        <is>
          <t>Use: second corrugator line (LineCost)</t>
        </is>
      </c>
      <c r="C17" s="25">
        <f>LineCost</f>
        <v/>
      </c>
    </row>
    <row r="18">
      <c r="B18" s="13" t="inlineStr">
        <is>
          <t>Use: working capital and liquidity buffer</t>
        </is>
      </c>
      <c r="C18" s="25">
        <f>Buffer</f>
        <v/>
      </c>
    </row>
    <row r="19">
      <c r="B19" s="5" t="inlineStr">
        <is>
          <t>Total uses</t>
        </is>
      </c>
      <c r="C19" s="20">
        <f>C17+C18</f>
        <v/>
      </c>
    </row>
    <row r="20"/>
    <row r="21" ht="22" customHeight="1">
      <c r="A21" s="14" t="inlineStr">
        <is>
          <t>Investopia Academy · A platform by Erudite Africa Investments PLC · investopia.et</t>
        </is>
      </c>
      <c r="B21" s="15" t="n"/>
      <c r="C21" s="15" t="n"/>
      <c r="D21" s="15" t="n"/>
      <c r="E21" s="15" t="n"/>
      <c r="F21" s="15" t="n"/>
      <c r="G21" s="15" t="n"/>
    </row>
  </sheetData>
  <mergeCells count="1">
    <mergeCell ref="A21:G21"/>
  </mergeCells>
  <conditionalFormatting sqref="C5:F10">
    <cfRule type="expression" priority="1" dxfId="1">
      <formula>AND(ISNUMBER(C5),ABS(C5)&gt;0.005)</formula>
    </cfRule>
    <cfRule type="expression" priority="2" dxfId="0">
      <formula>AND(ISNUMBER(C5),ABS(C5)&lt;=0.005)</formula>
    </cfRule>
  </conditionalFormatting>
  <conditionalFormatting sqref="C11">
    <cfRule type="expression" priority="3" dxfId="1">
      <formula>AND(ISNUMBER(C11),ABS(C11)&gt;0.005)</formula>
    </cfRule>
    <cfRule type="expression" priority="4" dxfId="0">
      <formula>AND(ISNUMBER(C11),ABS(C11)&lt;=0.005)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2026-10-22T15:40:23Z</dcterms:created>
  <dcterms:modified xmlns:dcterms="http://purl.org/dc/terms/" xmlns:xsi="http://www.w3.org/2001/XMLSchema-instance" xsi:type="dcterms:W3CDTF">2026-10-22T15:40:23Z</dcterms:modified>
</cp:coreProperties>
</file>