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4.xml" ContentType="application/vnd.openxmlformats-officedocument.spreadsheetml.worksheet+xml"/>
  <Override PartName="/xl/comments/comment1.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comments/comment2.xml" ContentType="application/vnd.openxmlformats-officedocument.spreadsheetml.comments+xml"/>
  <Override PartName="/xl/worksheets/sheet10.xml" ContentType="application/vnd.openxmlformats-officedocument.spreadsheetml.worksheet+xml"/>
  <Override PartName="/xl/comments/comment3.xml" ContentType="application/vnd.openxmlformats-officedocument.spreadsheetml.comments+xml"/>
  <Override PartName="/xl/worksheets/sheet11.xml" ContentType="application/vnd.openxmlformats-officedocument.spreadsheetml.worksheet+xml"/>
  <Override PartName="/xl/tables/table5.xml" ContentType="application/vnd.openxmlformats-officedocument.spreadsheetml.table+xml"/>
  <Override PartName="/xl/worksheets/sheet12.xml" ContentType="application/vnd.openxmlformats-officedocument.spreadsheetml.worksheet+xml"/>
  <Override PartName="/xl/tables/table6.xml" ContentType="application/vnd.openxmlformats-officedocument.spreadsheetml.table+xml"/>
  <Override PartName="/xl/worksheets/sheet13.xml" ContentType="application/vnd.openxmlformats-officedocument.spreadsheetml.worksheet+xml"/>
  <Override PartName="/xl/tables/table7.xml" ContentType="application/vnd.openxmlformats-officedocument.spreadsheetml.table+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comments/comment4.xml" ContentType="application/vnd.openxmlformats-officedocument.spreadsheetml.comments+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comments/comment5.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ettings" sheetId="2" state="visible" r:id="rId2"/>
    <sheet xmlns:r="http://schemas.openxmlformats.org/officeDocument/2006/relationships" name="Lists" sheetId="3" state="visible" r:id="rId3"/>
    <sheet xmlns:r="http://schemas.openxmlformats.org/officeDocument/2006/relationships" name="Transactions" sheetId="4" state="visible" r:id="rId4"/>
    <sheet xmlns:r="http://schemas.openxmlformats.org/officeDocument/2006/relationships" name="Budget" sheetId="5" state="visible" r:id="rId5"/>
    <sheet xmlns:r="http://schemas.openxmlformats.org/officeDocument/2006/relationships" name="IS" sheetId="6" state="visible" r:id="rId6"/>
    <sheet xmlns:r="http://schemas.openxmlformats.org/officeDocument/2006/relationships" name="BS" sheetId="7" state="visible" r:id="rId7"/>
    <sheet xmlns:r="http://schemas.openxmlformats.org/officeDocument/2006/relationships" name="CF" sheetId="8" state="visible" r:id="rId8"/>
    <sheet xmlns:r="http://schemas.openxmlformats.org/officeDocument/2006/relationships" name="Forecast13" sheetId="9" state="visible" r:id="rId9"/>
    <sheet xmlns:r="http://schemas.openxmlformats.org/officeDocument/2006/relationships" name="BvA" sheetId="10" state="visible" r:id="rId10"/>
    <sheet xmlns:r="http://schemas.openxmlformats.org/officeDocument/2006/relationships" name="Aging" sheetId="11" state="visible" r:id="rId11"/>
    <sheet xmlns:r="http://schemas.openxmlformats.org/officeDocument/2006/relationships" name="Stock" sheetId="12" state="visible" r:id="rId12"/>
    <sheet xmlns:r="http://schemas.openxmlformats.org/officeDocument/2006/relationships" name="Assets" sheetId="13" state="visible" r:id="rId13"/>
    <sheet xmlns:r="http://schemas.openxmlformats.org/officeDocument/2006/relationships" name="Ratios" sheetId="14" state="visible" r:id="rId14"/>
    <sheet xmlns:r="http://schemas.openxmlformats.org/officeDocument/2006/relationships" name="Dashboard" sheetId="15" state="visible" r:id="rId15"/>
    <sheet xmlns:r="http://schemas.openxmlformats.org/officeDocument/2006/relationships" name="Checks" sheetId="16" state="visible" r:id="rId16"/>
    <sheet xmlns:r="http://schemas.openxmlformats.org/officeDocument/2006/relationships" name="Pivot by line" sheetId="17" state="visible" r:id="rId17"/>
    <sheet xmlns:r="http://schemas.openxmlformats.org/officeDocument/2006/relationships" name="Pivot sales by customer" sheetId="18" state="visible" r:id="rId18"/>
  </sheets>
  <definedNames>
    <definedName name="VATRate">Settings!$C$6</definedName>
    <definedName name="_xlnm.Print_Area" localSheetId="0">'Instructions'!$A$1:$C$45</definedName>
    <definedName name="_xlnm.Print_Area" localSheetId="1">'Settings'!$A$1:$D$29</definedName>
    <definedName name="_xlnm.Print_Titles" localSheetId="2">'Lists'!$3:$3</definedName>
    <definedName name="_xlnm.Print_Area" localSheetId="2">'Lists'!$A$1:$P$40</definedName>
    <definedName name="_xlnm.Print_Titles" localSheetId="3">'Transactions'!$4:$4</definedName>
    <definedName name="_xlnm.Print_Area" localSheetId="3">'Transactions'!$A$1:$P$52</definedName>
    <definedName name="_xlnm.Print_Titles" localSheetId="4">'Budget'!$4:$4</definedName>
    <definedName name="_xlnm.Print_Area" localSheetId="4">'Budget'!$A$1:$N$31</definedName>
    <definedName name="_xlnm.Print_Area" localSheetId="5">'IS'!$A$1:$E$40</definedName>
    <definedName name="_xlnm.Print_Area" localSheetId="6">'BS'!$A$1:$E$43</definedName>
    <definedName name="_xlnm.Print_Area" localSheetId="7">'CF'!$A$1:$E$41</definedName>
    <definedName name="_xlnm.Print_Area" localSheetId="8">'Forecast13'!$A$1:$P$49</definedName>
    <definedName name="_xlnm.Print_Area" localSheetId="9">'BvA'!$A$1:$J$72</definedName>
    <definedName name="_xlnm.Print_Area" localSheetId="10">'Aging'!$A$1:$J$31</definedName>
    <definedName name="_xlnm.Print_Area" localSheetId="11">'Stock'!$A$1:$M$34</definedName>
    <definedName name="_xlnm.Print_Area" localSheetId="12">'Assets'!$A$1:$Q$21</definedName>
    <definedName name="_xlnm.Print_Area" localSheetId="13">'Ratios'!$A$1:$H$37</definedName>
    <definedName name="_xlnm.Print_Area" localSheetId="14">'Dashboard'!$A$1:$P$40</definedName>
    <definedName name="_xlnm.Print_Area" localSheetId="15">'Checks'!$A$1:$D$19</definedName>
    <definedName name="_xlnm.Print_Area" localSheetId="16">'Pivot by line'!$A$1:$P$36</definedName>
    <definedName name="_xlnm.Print_Area" localSheetId="17">'Pivot sales by customer'!$A$1:$I$32</definedName>
  </definedNames>
  <calcPr calcId="124519" fullCalcOnLoad="1"/>
</workbook>
</file>

<file path=xl/styles.xml><?xml version="1.0" encoding="utf-8"?>
<styleSheet xmlns="http://schemas.openxmlformats.org/spreadsheetml/2006/main">
  <numFmts count="7">
    <numFmt numFmtId="164" formatCode="0.0%"/>
    <numFmt numFmtId="165" formatCode="#,##0;-#,##0;0"/>
    <numFmt numFmtId="166" formatCode="dd/mm/yyyy"/>
    <numFmt numFmtId="167" formatCode="yyyy-mm-dd"/>
    <numFmt numFmtId="168" formatCode="#,##0.0"/>
    <numFmt numFmtId="169" formatCode="0.0"/>
    <numFmt numFmtId="170" formatCode="0.0000"/>
  </numFmts>
  <fonts count="20">
    <font>
      <name val="Calibri"/>
      <family val="2"/>
      <color theme="1"/>
      <sz val="11"/>
      <scheme val="minor"/>
    </font>
    <font>
      <name val="Calibri"/>
      <b val="1"/>
      <color rgb="000F4C3A"/>
      <sz val="16"/>
    </font>
    <font>
      <name val="Calibri"/>
      <b val="1"/>
      <color rgb="000F4C3A"/>
      <sz val="11"/>
    </font>
    <font>
      <name val="Calibri"/>
      <b val="1"/>
      <color rgb="000F4C3A"/>
      <sz val="12"/>
    </font>
    <font>
      <name val="Calibri"/>
      <b val="1"/>
      <color rgb="00FFFFFF"/>
      <sz val="11"/>
    </font>
    <font>
      <name val="Calibri"/>
      <b val="1"/>
      <sz val="11"/>
    </font>
    <font>
      <name val="Calibri"/>
      <sz val="11"/>
    </font>
    <font>
      <name val="Calibri"/>
      <i val="1"/>
      <color rgb="000F4C3A"/>
      <sz val="10"/>
    </font>
    <font>
      <name val="Calibri"/>
      <i val="1"/>
      <color rgb="00555555"/>
      <sz val="10"/>
    </font>
    <font>
      <name val="Calibri"/>
      <color rgb="001F1F1F"/>
      <sz val="11"/>
    </font>
    <font>
      <name val="Calibri"/>
      <i val="1"/>
      <color rgb="00555555"/>
      <sz val="11"/>
    </font>
    <font>
      <name val="Calibri"/>
      <color rgb="00FFFFFF"/>
      <sz val="8"/>
    </font>
    <font>
      <name val="Calibri"/>
      <b val="1"/>
      <sz val="12"/>
    </font>
    <font>
      <name val="Calibri"/>
      <b val="1"/>
      <color rgb="000F4C3A"/>
      <sz val="18"/>
    </font>
    <font>
      <name val="Calibri"/>
      <color rgb="00404040"/>
      <sz val="10"/>
    </font>
    <font>
      <name val="Calibri"/>
      <i val="1"/>
      <color rgb="000F4C3A"/>
      <sz val="11"/>
    </font>
    <font>
      <name val="Calibri"/>
      <sz val="9"/>
    </font>
    <font>
      <name val="Calibri"/>
      <b val="1"/>
      <color rgb="000F4C3A"/>
      <sz val="14"/>
    </font>
    <font>
      <name val="Calibri"/>
      <b val="1"/>
      <sz val="13"/>
    </font>
    <font>
      <name val="Calibri"/>
      <color rgb="001F1F1F"/>
      <sz val="10"/>
    </font>
  </fonts>
  <fills count="5">
    <fill>
      <patternFill/>
    </fill>
    <fill>
      <patternFill patternType="gray125"/>
    </fill>
    <fill>
      <patternFill patternType="solid">
        <fgColor rgb="000F4C3A"/>
      </patternFill>
    </fill>
    <fill>
      <patternFill patternType="solid">
        <fgColor rgb="00FFF2CC"/>
      </patternFill>
    </fill>
    <fill>
      <patternFill patternType="solid">
        <fgColor rgb="00F4F1E6"/>
      </patternFill>
    </fill>
  </fills>
  <borders count="13">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border>
      <left style="thin">
        <color rgb="00BFBFBF"/>
      </left>
      <right style="thin">
        <color rgb="00BFBFBF"/>
      </right>
      <top style="medium">
        <color rgb="00D4A72C"/>
      </top>
      <bottom style="thin">
        <color rgb="00BFBFBF"/>
      </bottom>
    </border>
    <border>
      <left style="medium">
        <color rgb="00D4A72C"/>
      </left>
      <top style="medium">
        <color rgb="00D4A72C"/>
      </top>
    </border>
    <border>
      <right style="medium">
        <color rgb="00D4A72C"/>
      </right>
      <top style="medium">
        <color rgb="00D4A72C"/>
      </top>
    </border>
    <border>
      <left style="medium">
        <color rgb="00D4A72C"/>
      </left>
    </border>
    <border>
      <right style="medium">
        <color rgb="00D4A72C"/>
      </right>
    </border>
    <border>
      <left style="medium">
        <color rgb="00D4A72C"/>
      </left>
      <bottom style="medium">
        <color rgb="00D4A72C"/>
      </bottom>
    </border>
    <border>
      <right style="medium">
        <color rgb="00D4A72C"/>
      </right>
      <bottom style="medium">
        <color rgb="00D4A72C"/>
      </bottom>
    </border>
    <border>
      <left style="medium">
        <color rgb="00D4A72C"/>
      </left>
      <right style="medium">
        <color rgb="00D4A72C"/>
      </right>
      <top style="medium">
        <color rgb="00D4A72C"/>
      </top>
      <bottom style="medium">
        <color rgb="00D4A72C"/>
      </bottom>
    </border>
  </borders>
  <cellStyleXfs count="1">
    <xf numFmtId="0" fontId="0" fillId="0" borderId="0"/>
  </cellStyleXfs>
  <cellXfs count="82">
    <xf numFmtId="0" fontId="0" fillId="0" borderId="0" pivotButton="0" quotePrefix="0" xfId="0"/>
    <xf numFmtId="0" fontId="1" fillId="0" borderId="1" applyAlignment="1" pivotButton="0" quotePrefix="0" xfId="0">
      <alignment vertical="center"/>
    </xf>
    <xf numFmtId="0" fontId="0" fillId="0" borderId="1"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4" fillId="2" borderId="2" applyAlignment="1" pivotButton="0" quotePrefix="0" xfId="0">
      <alignment horizontal="center" vertical="center" wrapText="1"/>
    </xf>
    <xf numFmtId="0" fontId="0" fillId="0" borderId="2" pivotButton="0" quotePrefix="0" xfId="0"/>
    <xf numFmtId="0" fontId="5" fillId="0" borderId="2" applyAlignment="1" pivotButton="0" quotePrefix="0" xfId="0">
      <alignment vertical="top" wrapText="1"/>
    </xf>
    <xf numFmtId="0" fontId="6" fillId="0" borderId="2" applyAlignment="1" pivotButton="0" quotePrefix="0" xfId="0">
      <alignment vertical="top" wrapText="1"/>
    </xf>
    <xf numFmtId="0" fontId="7" fillId="0" borderId="3" applyAlignment="1" pivotButton="0" quotePrefix="0" xfId="0">
      <alignment horizontal="center" vertical="center"/>
    </xf>
    <xf numFmtId="0" fontId="0" fillId="0" borderId="3" pivotButton="0" quotePrefix="0" xfId="0"/>
    <xf numFmtId="0" fontId="6" fillId="3" borderId="2" applyAlignment="1" applyProtection="1" pivotButton="0" quotePrefix="0" xfId="0">
      <alignment horizontal="left" vertical="top" wrapText="1"/>
      <protection locked="0" hidden="0"/>
    </xf>
    <xf numFmtId="0" fontId="8" fillId="0" borderId="0" applyAlignment="1" pivotButton="0" quotePrefix="0" xfId="0">
      <alignment vertical="top" wrapText="1"/>
    </xf>
    <xf numFmtId="0" fontId="9" fillId="0" borderId="2" applyAlignment="1" pivotButton="0" quotePrefix="0" xfId="0">
      <alignment horizontal="left" vertical="top" wrapText="1"/>
    </xf>
    <xf numFmtId="1" fontId="9" fillId="0" borderId="2" applyAlignment="1" pivotButton="0" quotePrefix="0" xfId="0">
      <alignment horizontal="left" vertical="top" wrapText="1"/>
    </xf>
    <xf numFmtId="9" fontId="6" fillId="3" borderId="2" applyAlignment="1" applyProtection="1" pivotButton="0" quotePrefix="0" xfId="0">
      <alignment horizontal="left" vertical="top" wrapText="1"/>
      <protection locked="0" hidden="0"/>
    </xf>
    <xf numFmtId="164" fontId="6" fillId="3" borderId="2" applyAlignment="1" applyProtection="1" pivotButton="0" quotePrefix="0" xfId="0">
      <alignment horizontal="left" vertical="top" wrapText="1"/>
      <protection locked="0" hidden="0"/>
    </xf>
    <xf numFmtId="165" fontId="6" fillId="3" borderId="2" applyAlignment="1" applyProtection="1" pivotButton="0" quotePrefix="0" xfId="0">
      <alignment horizontal="left" vertical="top" wrapText="1"/>
      <protection locked="0" hidden="0"/>
    </xf>
    <xf numFmtId="1" fontId="6" fillId="3" borderId="2" applyAlignment="1" applyProtection="1" pivotButton="0" quotePrefix="0" xfId="0">
      <alignment horizontal="left" vertical="top" wrapText="1"/>
      <protection locked="0" hidden="0"/>
    </xf>
    <xf numFmtId="2" fontId="6" fillId="3" borderId="2" applyAlignment="1" applyProtection="1" pivotButton="0" quotePrefix="0" xfId="0">
      <alignment horizontal="left" vertical="top" wrapText="1"/>
      <protection locked="0" hidden="0"/>
    </xf>
    <xf numFmtId="166" fontId="9" fillId="0" borderId="2" applyAlignment="1" pivotButton="0" quotePrefix="0" xfId="0">
      <alignment horizontal="left" vertical="top" wrapText="1"/>
    </xf>
    <xf numFmtId="0" fontId="10" fillId="0" borderId="0" applyAlignment="1" pivotButton="0" quotePrefix="0" xfId="0">
      <alignment vertical="top"/>
    </xf>
    <xf numFmtId="1" fontId="6" fillId="3" borderId="2" applyAlignment="1" applyProtection="1" pivotButton="0" quotePrefix="0" xfId="0">
      <alignment vertical="top"/>
      <protection locked="0" hidden="0"/>
    </xf>
    <xf numFmtId="0" fontId="6" fillId="3" borderId="2" applyAlignment="1" applyProtection="1" pivotButton="0" quotePrefix="0" xfId="0">
      <alignment vertical="top"/>
      <protection locked="0" hidden="0"/>
    </xf>
    <xf numFmtId="166" fontId="6" fillId="3" borderId="2" applyAlignment="1" applyProtection="1" pivotButton="0" quotePrefix="0" xfId="0">
      <alignment vertical="top"/>
      <protection locked="0" hidden="0"/>
    </xf>
    <xf numFmtId="0" fontId="9" fillId="0" borderId="2" applyAlignment="1" pivotButton="0" quotePrefix="0" xfId="0">
      <alignment vertical="top"/>
    </xf>
    <xf numFmtId="1" fontId="9" fillId="0" borderId="2" applyAlignment="1" pivotButton="0" quotePrefix="0" xfId="0">
      <alignment vertical="top"/>
    </xf>
    <xf numFmtId="3" fontId="6" fillId="3" borderId="2" applyAlignment="1" applyProtection="1" pivotButton="0" quotePrefix="0" xfId="0">
      <alignment vertical="top"/>
      <protection locked="0" hidden="0"/>
    </xf>
    <xf numFmtId="165" fontId="6" fillId="3" borderId="2" applyAlignment="1" applyProtection="1" pivotButton="0" quotePrefix="0" xfId="0">
      <alignment vertical="top"/>
      <protection locked="0" hidden="0"/>
    </xf>
    <xf numFmtId="165" fontId="9" fillId="0" borderId="2" applyAlignment="1" pivotButton="0" quotePrefix="0" xfId="0">
      <alignment vertical="top"/>
    </xf>
    <xf numFmtId="0" fontId="6" fillId="3" borderId="2" applyAlignment="1" pivotButton="0" quotePrefix="0" xfId="0">
      <alignment vertical="top" wrapText="1"/>
    </xf>
    <xf numFmtId="164" fontId="6" fillId="3" borderId="2" applyAlignment="1" applyProtection="1" pivotButton="0" quotePrefix="0" xfId="0">
      <alignment vertical="top"/>
      <protection locked="0" hidden="0"/>
    </xf>
    <xf numFmtId="0" fontId="1" fillId="0" borderId="1" applyAlignment="1" pivotButton="0" quotePrefix="0" xfId="0">
      <alignment vertical="top"/>
    </xf>
    <xf numFmtId="0" fontId="10" fillId="0" borderId="4" applyAlignment="1" pivotButton="0" quotePrefix="0" xfId="0">
      <alignment vertical="top"/>
    </xf>
    <xf numFmtId="0" fontId="11" fillId="0" borderId="0" pivotButton="0" quotePrefix="0" xfId="0"/>
    <xf numFmtId="164" fontId="9" fillId="0" borderId="2" applyAlignment="1" pivotButton="0" quotePrefix="0" xfId="0">
      <alignment vertical="top"/>
    </xf>
    <xf numFmtId="0" fontId="5" fillId="0" borderId="5" applyAlignment="1" pivotButton="0" quotePrefix="0" xfId="0">
      <alignment vertical="top" wrapText="1"/>
    </xf>
    <xf numFmtId="165" fontId="5" fillId="0" borderId="5" applyAlignment="1" pivotButton="0" quotePrefix="0" xfId="0">
      <alignment vertical="top"/>
    </xf>
    <xf numFmtId="164" fontId="5" fillId="0" borderId="5" applyAlignment="1" pivotButton="0" quotePrefix="0" xfId="0">
      <alignment vertical="top"/>
    </xf>
    <xf numFmtId="165" fontId="5" fillId="0" borderId="2" applyAlignment="1" pivotButton="0" quotePrefix="0" xfId="0">
      <alignment vertical="top"/>
    </xf>
    <xf numFmtId="164" fontId="5" fillId="0" borderId="2" applyAlignment="1" pivotButton="0" quotePrefix="0" xfId="0">
      <alignment vertical="top"/>
    </xf>
    <xf numFmtId="1" fontId="5" fillId="0" borderId="2" applyAlignment="1" pivotButton="0" quotePrefix="0" xfId="0">
      <alignment vertical="top"/>
    </xf>
    <xf numFmtId="0" fontId="9" fillId="0" borderId="2" applyAlignment="1" pivotButton="0" quotePrefix="0" xfId="0">
      <alignment horizontal="center" vertical="top"/>
    </xf>
    <xf numFmtId="0" fontId="6" fillId="3" borderId="2" applyAlignment="1" applyProtection="1" pivotButton="0" quotePrefix="0" xfId="0">
      <alignment vertical="top" wrapText="1"/>
      <protection locked="0" hidden="0"/>
    </xf>
    <xf numFmtId="3" fontId="9" fillId="0" borderId="2" applyAlignment="1" pivotButton="0" quotePrefix="0" xfId="0">
      <alignment vertical="top"/>
    </xf>
    <xf numFmtId="3" fontId="5" fillId="0" borderId="2" applyAlignment="1" pivotButton="0" quotePrefix="0" xfId="0">
      <alignment vertical="top"/>
    </xf>
    <xf numFmtId="168" fontId="9" fillId="0" borderId="2" applyAlignment="1" pivotButton="0" quotePrefix="0" xfId="0">
      <alignment vertical="top"/>
    </xf>
    <xf numFmtId="168" fontId="5" fillId="0" borderId="2" applyAlignment="1" pivotButton="0" quotePrefix="0" xfId="0">
      <alignment vertical="top"/>
    </xf>
    <xf numFmtId="9" fontId="6" fillId="3" borderId="2" applyAlignment="1" applyProtection="1" pivotButton="0" quotePrefix="0" xfId="0">
      <alignment vertical="top"/>
      <protection locked="0" hidden="0"/>
    </xf>
    <xf numFmtId="2" fontId="5" fillId="0" borderId="2" applyAlignment="1" pivotButton="0" quotePrefix="0" xfId="0">
      <alignment vertical="top"/>
    </xf>
    <xf numFmtId="2" fontId="9" fillId="0" borderId="2" applyAlignment="1" pivotButton="0" quotePrefix="0" xfId="0">
      <alignment vertical="top"/>
    </xf>
    <xf numFmtId="0" fontId="9" fillId="0" borderId="2" applyAlignment="1" pivotButton="0" quotePrefix="0" xfId="0">
      <alignment horizontal="center"/>
    </xf>
    <xf numFmtId="169" fontId="5" fillId="0" borderId="2" applyAlignment="1" pivotButton="0" quotePrefix="0" xfId="0">
      <alignment vertical="top"/>
    </xf>
    <xf numFmtId="169" fontId="9" fillId="0" borderId="2" applyAlignment="1" pivotButton="0" quotePrefix="0" xfId="0">
      <alignment vertical="top"/>
    </xf>
    <xf numFmtId="170" fontId="5" fillId="0" borderId="2" applyAlignment="1" pivotButton="0" quotePrefix="0" xfId="0">
      <alignment vertical="top"/>
    </xf>
    <xf numFmtId="0" fontId="12" fillId="3" borderId="2" applyAlignment="1" applyProtection="1" pivotButton="0" quotePrefix="0" xfId="0">
      <alignment horizontal="center" vertical="center"/>
      <protection locked="0" hidden="0"/>
    </xf>
    <xf numFmtId="0" fontId="0" fillId="3" borderId="2" pivotButton="0" quotePrefix="0" xfId="0"/>
    <xf numFmtId="0" fontId="4" fillId="2" borderId="6" applyAlignment="1" pivotButton="0" quotePrefix="0" xfId="0">
      <alignment horizontal="center" vertical="center" wrapText="1"/>
    </xf>
    <xf numFmtId="0" fontId="0" fillId="2" borderId="7" pivotButton="0" quotePrefix="0" xfId="0"/>
    <xf numFmtId="0" fontId="0" fillId="2" borderId="3" pivotButton="0" quotePrefix="0" xfId="0"/>
    <xf numFmtId="165" fontId="13" fillId="0" borderId="8" applyAlignment="1" pivotButton="0" quotePrefix="0" xfId="0">
      <alignment horizontal="center" vertical="center" wrapText="1"/>
    </xf>
    <xf numFmtId="0" fontId="0" fillId="0" borderId="9" pivotButton="0" quotePrefix="0" xfId="0"/>
    <xf numFmtId="164" fontId="13" fillId="0" borderId="8" applyAlignment="1" pivotButton="0" quotePrefix="0" xfId="0">
      <alignment horizontal="center" vertical="center" wrapText="1"/>
    </xf>
    <xf numFmtId="169" fontId="13" fillId="0" borderId="8" applyAlignment="1" pivotButton="0" quotePrefix="0" xfId="0">
      <alignment horizontal="center" vertical="center" wrapText="1"/>
    </xf>
    <xf numFmtId="169" fontId="13" fillId="0" borderId="9" applyAlignment="1" pivotButton="0" quotePrefix="0" xfId="0">
      <alignment horizontal="center" vertical="center" wrapText="1"/>
    </xf>
    <xf numFmtId="0" fontId="0" fillId="0" borderId="4" pivotButton="0" quotePrefix="0" xfId="0"/>
    <xf numFmtId="0" fontId="14" fillId="0" borderId="8" applyAlignment="1" pivotButton="0" quotePrefix="0" xfId="0">
      <alignment horizontal="center" vertical="center" wrapText="1"/>
    </xf>
    <xf numFmtId="0" fontId="14" fillId="0" borderId="10" applyAlignment="1" pivotButton="0" quotePrefix="0" xfId="0">
      <alignment horizontal="center" vertical="center" wrapText="1"/>
    </xf>
    <xf numFmtId="0" fontId="0" fillId="0" borderId="11" pivotButton="0" quotePrefix="0" xfId="0"/>
    <xf numFmtId="0" fontId="15" fillId="0" borderId="4" applyAlignment="1" pivotButton="0" quotePrefix="0" xfId="0">
      <alignment horizontal="left" vertical="center"/>
    </xf>
    <xf numFmtId="0" fontId="16" fillId="0" borderId="2" applyAlignment="1" pivotButton="0" quotePrefix="0" xfId="0">
      <alignment vertical="top"/>
    </xf>
    <xf numFmtId="0" fontId="0" fillId="2" borderId="2" pivotButton="0" quotePrefix="0" xfId="0"/>
    <xf numFmtId="2" fontId="17" fillId="0" borderId="2" applyAlignment="1" pivotButton="0" quotePrefix="0" xfId="0">
      <alignment horizontal="center" vertical="center" wrapText="1"/>
    </xf>
    <xf numFmtId="164" fontId="17" fillId="0" borderId="2" applyAlignment="1" pivotButton="0" quotePrefix="0" xfId="0">
      <alignment horizontal="center" vertical="center" wrapText="1"/>
    </xf>
    <xf numFmtId="169" fontId="17" fillId="0" borderId="2" applyAlignment="1" pivotButton="0" quotePrefix="0" xfId="0">
      <alignment horizontal="center" vertical="center" wrapText="1"/>
    </xf>
    <xf numFmtId="0" fontId="9" fillId="0" borderId="2" applyAlignment="1" pivotButton="0" quotePrefix="0" xfId="0">
      <alignment horizontal="center" vertical="center" wrapText="1"/>
    </xf>
    <xf numFmtId="0" fontId="18" fillId="0" borderId="2" applyAlignment="1" pivotButton="0" quotePrefix="0" xfId="0">
      <alignment horizontal="center" vertical="center" wrapText="1"/>
    </xf>
    <xf numFmtId="0" fontId="5" fillId="0" borderId="2" applyAlignment="1" pivotButton="0" quotePrefix="0" xfId="0">
      <alignment horizontal="center"/>
    </xf>
    <xf numFmtId="0" fontId="19" fillId="4" borderId="12" applyAlignment="1" pivotButton="0" quotePrefix="0" xfId="0">
      <alignment vertical="top" wrapText="1"/>
    </xf>
    <xf numFmtId="0" fontId="0" fillId="4" borderId="12" pivotButton="0" quotePrefix="0" xfId="0"/>
  </cellXfs>
  <cellStyles count="1">
    <cellStyle name="Normal" xfId="0" builtinId="0" hidden="0"/>
  </cellStyles>
  <dxfs count="10">
    <dxf>
      <font>
        <b val="1"/>
        <color rgb="009C0006"/>
      </font>
      <fill>
        <patternFill patternType="solid">
          <fgColor rgb="00FFC7CE"/>
          <bgColor rgb="00FFC7CE"/>
        </patternFill>
      </fill>
    </dxf>
    <dxf>
      <font>
        <b val="1"/>
        <color rgb="00006100"/>
      </font>
      <fill>
        <patternFill patternType="solid">
          <fgColor rgb="00C6EFCE"/>
          <bgColor rgb="00C6EFCE"/>
        </patternFill>
      </fill>
    </dxf>
    <dxf>
      <fill>
        <patternFill patternType="solid">
          <fgColor rgb="00FFC7CE"/>
          <bgColor rgb="00FFC7CE"/>
        </patternFill>
      </fill>
    </dxf>
    <dxf>
      <fill>
        <patternFill patternType="solid">
          <fgColor rgb="00FFEB9C"/>
          <bgColor rgb="00FFEB9C"/>
        </patternFill>
      </fill>
    </dxf>
    <dxf>
      <font>
        <b val="1"/>
        <u val="single"/>
      </font>
      <border>
        <left style="medium"/>
        <right style="medium"/>
        <top style="medium"/>
        <bottom style="medium"/>
      </border>
    </dxf>
    <dxf>
      <fill>
        <patternFill patternType="solid">
          <fgColor rgb="00C6EFCE"/>
          <bgColor rgb="00C6EFCE"/>
        </patternFill>
      </fill>
    </dxf>
    <dxf>
      <font>
        <b val="1"/>
        <color rgb="009C5700"/>
      </font>
      <fill>
        <patternFill patternType="solid">
          <fgColor rgb="00FFEB9C"/>
          <bgColor rgb="00FFEB9C"/>
        </patternFill>
      </fill>
    </dxf>
    <dxf>
      <font>
        <b val="1"/>
        <color rgb="009C0006"/>
        <sz val="18"/>
      </font>
    </dxf>
    <dxf>
      <font>
        <b val="1"/>
        <color rgb="00006100"/>
        <sz val="13"/>
      </font>
      <fill>
        <patternFill patternType="solid">
          <fgColor rgb="00C6EFCE"/>
          <bgColor rgb="00C6EFCE"/>
        </patternFill>
      </fill>
    </dxf>
    <dxf>
      <font>
        <b val="1"/>
        <color rgb="009C0006"/>
        <sz val="13"/>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Headroom: with actions vs base case</a:t>
            </a:r>
          </a:p>
        </rich>
      </tx>
    </title>
    <plotArea>
      <lineChart>
        <grouping val="standard"/>
        <ser>
          <idx val="0"/>
          <order val="0"/>
          <tx>
            <v>Headroom with actions</v>
          </tx>
          <spPr>
            <a:ln xmlns:a="http://schemas.openxmlformats.org/drawingml/2006/main" w="22000">
              <a:solidFill>
                <a:srgbClr val="0F4C3A"/>
              </a:solidFill>
              <a:prstDash val="solid"/>
            </a:ln>
          </spPr>
          <marker>
            <symbol val="none"/>
            <spPr>
              <a:ln xmlns:a="http://schemas.openxmlformats.org/drawingml/2006/main">
                <a:prstDash val="solid"/>
              </a:ln>
            </spPr>
          </marker>
          <cat>
            <numRef>
              <f>'Forecast13'!$D$4:$P$4</f>
            </numRef>
          </cat>
          <val>
            <numRef>
              <f>'Forecast13'!$D$22:$P$22</f>
            </numRef>
          </val>
          <smooth val="0"/>
        </ser>
        <ser>
          <idx val="1"/>
          <order val="1"/>
          <tx>
            <v>Headroom, base case</v>
          </tx>
          <spPr>
            <a:ln xmlns:a="http://schemas.openxmlformats.org/drawingml/2006/main" w="22000">
              <a:solidFill>
                <a:srgbClr val="C0504D"/>
              </a:solidFill>
              <a:prstDash val="solid"/>
            </a:ln>
          </spPr>
          <marker>
            <symbol val="none"/>
            <spPr>
              <a:ln xmlns:a="http://schemas.openxmlformats.org/drawingml/2006/main">
                <a:prstDash val="solid"/>
              </a:ln>
            </spPr>
          </marker>
          <cat>
            <numRef>
              <f>'Forecast13'!$D$4:$P$4</f>
            </numRef>
          </cat>
          <val>
            <numRef>
              <f>'Forecast13'!$D$24:$P$24</f>
            </numRef>
          </val>
          <smooth val="0"/>
        </ser>
        <ser>
          <idx val="2"/>
          <order val="2"/>
          <tx>
            <v>Zero</v>
          </tx>
          <spPr>
            <a:ln xmlns:a="http://schemas.openxmlformats.org/drawingml/2006/main" w="12000">
              <a:solidFill>
                <a:srgbClr val="7F7F7F"/>
              </a:solidFill>
              <a:prstDash val="solid"/>
            </a:ln>
          </spPr>
          <marker>
            <symbol val="none"/>
            <spPr>
              <a:ln xmlns:a="http://schemas.openxmlformats.org/drawingml/2006/main">
                <a:prstDash val="solid"/>
              </a:ln>
            </spPr>
          </marker>
          <cat>
            <numRef>
              <f>'Forecast13'!$D$4:$P$4</f>
            </numRef>
          </cat>
          <val>
            <numRef>
              <f>'Forecast13'!$D$25:$P$25</f>
            </numRef>
          </val>
          <smooth val="0"/>
        </ser>
        <axId val="10"/>
        <axId val="100"/>
      </lineChart>
      <catAx>
        <axId val="10"/>
        <scaling>
          <orientation val="minMax"/>
        </scaling>
        <axPos val="l"/>
        <title>
          <tx>
            <rich>
              <a:bodyPr xmlns:a="http://schemas.openxmlformats.org/drawingml/2006/main"/>
              <a:p xmlns:a="http://schemas.openxmlformats.org/drawingml/2006/main">
                <a:pPr>
                  <a:defRPr/>
                </a:pPr>
                <a:r>
                  <a:t>Week</a:t>
                </a:r>
              </a:p>
            </rich>
          </tx>
        </title>
        <majorTickMark val="none"/>
        <minorTickMark val="none"/>
        <tickLblPos val="low"/>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Revenue by product: actual vs budget</a:t>
            </a:r>
          </a:p>
        </rich>
      </tx>
    </title>
    <plotArea>
      <barChart>
        <barDir val="col"/>
        <grouping val="clustered"/>
        <ser>
          <idx val="0"/>
          <order val="0"/>
          <tx>
            <v>Actual</v>
          </tx>
          <spPr>
            <a:solidFill xmlns:a="http://schemas.openxmlformats.org/drawingml/2006/main">
              <a:srgbClr val="0F4C3A"/>
            </a:solidFill>
            <a:ln xmlns:a="http://schemas.openxmlformats.org/drawingml/2006/main">
              <a:solidFill>
                <a:srgbClr val="0F4C3A"/>
              </a:solidFill>
              <a:prstDash val="solid"/>
            </a:ln>
          </spPr>
          <cat>
            <numRef>
              <f>'IS'!$B$6:$B$8</f>
            </numRef>
          </cat>
          <val>
            <numRef>
              <f>'IS'!$C$6:$C$8</f>
            </numRef>
          </val>
        </ser>
        <ser>
          <idx val="1"/>
          <order val="1"/>
          <tx>
            <v>Budget</v>
          </tx>
          <spPr>
            <a:solidFill xmlns:a="http://schemas.openxmlformats.org/drawingml/2006/main">
              <a:srgbClr val="D4A72C"/>
            </a:solidFill>
            <a:ln xmlns:a="http://schemas.openxmlformats.org/drawingml/2006/main">
              <a:solidFill>
                <a:srgbClr val="D4A72C"/>
              </a:solidFill>
              <a:prstDash val="solid"/>
            </a:ln>
          </spPr>
          <cat>
            <numRef>
              <f>'IS'!$B$6:$B$8</f>
            </numRef>
          </cat>
          <val>
            <numRef>
              <f>'BvA'!$D$6:$D$8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13-week headroom</a:t>
            </a:r>
          </a:p>
        </rich>
      </tx>
    </title>
    <plotArea>
      <lineChart>
        <grouping val="standard"/>
        <ser>
          <idx val="0"/>
          <order val="0"/>
          <tx>
            <v>With actions</v>
          </tx>
          <spPr>
            <a:ln xmlns:a="http://schemas.openxmlformats.org/drawingml/2006/main" w="20000">
              <a:solidFill>
                <a:srgbClr val="0F4C3A"/>
              </a:solidFill>
              <a:prstDash val="solid"/>
            </a:ln>
          </spPr>
          <marker>
            <symbol val="none"/>
            <spPr>
              <a:ln xmlns:a="http://schemas.openxmlformats.org/drawingml/2006/main">
                <a:prstDash val="solid"/>
              </a:ln>
            </spPr>
          </marker>
          <cat>
            <numRef>
              <f>'Forecast13'!$D$4:$P$4</f>
            </numRef>
          </cat>
          <val>
            <numRef>
              <f>'Forecast13'!$D$22:$P$22</f>
            </numRef>
          </val>
          <smooth val="0"/>
        </ser>
        <ser>
          <idx val="1"/>
          <order val="1"/>
          <tx>
            <v>Base case</v>
          </tx>
          <spPr>
            <a:ln xmlns:a="http://schemas.openxmlformats.org/drawingml/2006/main" w="20000">
              <a:solidFill>
                <a:srgbClr val="C0504D"/>
              </a:solidFill>
              <a:prstDash val="solid"/>
            </a:ln>
          </spPr>
          <marker>
            <symbol val="none"/>
            <spPr>
              <a:ln xmlns:a="http://schemas.openxmlformats.org/drawingml/2006/main">
                <a:prstDash val="solid"/>
              </a:ln>
            </spPr>
          </marker>
          <cat>
            <numRef>
              <f>'Forecast13'!$D$4:$P$4</f>
            </numRef>
          </cat>
          <val>
            <numRef>
              <f>'Forecast13'!$D$24:$P$24</f>
            </numRef>
          </val>
          <smooth val="0"/>
        </ser>
        <ser>
          <idx val="2"/>
          <order val="2"/>
          <tx>
            <v>Zero</v>
          </tx>
          <spPr>
            <a:ln xmlns:a="http://schemas.openxmlformats.org/drawingml/2006/main" w="10000">
              <a:solidFill>
                <a:srgbClr val="7F7F7F"/>
              </a:solidFill>
              <a:prstDash val="solid"/>
            </a:ln>
          </spPr>
          <marker>
            <symbol val="none"/>
            <spPr>
              <a:ln xmlns:a="http://schemas.openxmlformats.org/drawingml/2006/main">
                <a:prstDash val="solid"/>
              </a:ln>
            </spPr>
          </marker>
          <cat>
            <numRef>
              <f>'Forecast13'!$D$4:$P$4</f>
            </numRef>
          </cat>
          <val>
            <numRef>
              <f>'Forecast13'!$D$25:$P$25</f>
            </numRef>
          </val>
          <smooth val="0"/>
        </ser>
        <axId val="10"/>
        <axId val="100"/>
      </lineChart>
      <catAx>
        <axId val="10"/>
        <scaling>
          <orientation val="minMax"/>
        </scaling>
        <axPos val="l"/>
        <majorTickMark val="none"/>
        <minorTickMark val="none"/>
        <tickLblPos val="low"/>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Receivables aging</a:t>
            </a:r>
          </a:p>
        </rich>
      </tx>
    </title>
    <plotArea>
      <barChart>
        <barDir val="bar"/>
        <grouping val="clustered"/>
        <ser>
          <idx val="0"/>
          <order val="0"/>
          <tx>
            <v>Balance</v>
          </tx>
          <spPr>
            <a:solidFill xmlns:a="http://schemas.openxmlformats.org/drawingml/2006/main">
              <a:srgbClr val="0F4C3A"/>
            </a:solidFill>
            <a:ln xmlns:a="http://schemas.openxmlformats.org/drawingml/2006/main">
              <a:prstDash val="solid"/>
            </a:ln>
          </spPr>
          <cat>
            <numRef>
              <f>'Aging'!$C$4:$F$4</f>
            </numRef>
          </cat>
          <val>
            <numRef>
              <f>'Aging'!$C$11:$F$11</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Investopia Academy</author>
  </authors>
  <commentList>
    <comment ref="B4" authorId="0" shapeId="0">
      <text>
        <t>Microsoft 365 version: =XLOOKUP([@Date],tblPeriods[Start],tblPeriods[Period],"No period",-1). This file uses INDEX/MATCH with match type 1 (the latest start date on or before the date) so it also works in older Excel.</t>
      </text>
    </comment>
    <comment ref="C4" authorId="0" shapeId="0">
      <text>
        <t>Microsoft 365: =XLOOKUP([@Period],tblPeriods[Period],tblPeriods[PeriodNo],0)</t>
      </text>
    </comment>
    <comment ref="F4" authorId="0" shapeId="0">
      <text>
        <t>Microsoft 365: =XLOOKUP([@Account],tblAccounts[Code],tblAccounts[Line],"UNMAPPED")</t>
      </text>
    </comment>
    <comment ref="O4" authorId="0" shapeId="0">
      <text>
        <t>=IF([@Type]="Revenue",ROUND([@Amount]*VATRate,2),0); VATRate is Settings!C6.</t>
      </text>
    </comment>
  </commentList>
</comments>
</file>

<file path=xl/comments/comment2.xml><?xml version="1.0" encoding="utf-8"?>
<comments xmlns="http://schemas.openxmlformats.org/spreadsheetml/2006/main">
  <authors>
    <author>Investopia Academy</author>
  </authors>
  <commentList>
    <comment ref="F28" authorId="0" shapeId="0">
      <text>
        <t>Microsoft 365: =XLOOKUP(MIN(D22:P22),D22:P22,D4:P4)</t>
      </text>
    </comment>
  </commentList>
</comments>
</file>

<file path=xl/comments/comment3.xml><?xml version="1.0" encoding="utf-8"?>
<comments xmlns="http://schemas.openxmlformats.org/spreadsheetml/2006/main">
  <authors>
    <author>Investopia Academy</author>
  </authors>
  <commentList>
    <comment ref="D6" authorId="0" shapeId="0">
      <text>
        <t>Microsoft 365: =XLOOKUP($B6,tblBudget[Line],XLOOKUP(Settings!$C$4,tblBudget[#Headers],tblBudget)). INDEX/MATCH version used here: =INDEX(tblBudget,MATCH($B6,tblBudget[Line],0),MATCH(Settings!$C$4,tblBudget[#Headers],0)).</t>
      </text>
    </comment>
  </commentList>
</comments>
</file>

<file path=xl/comments/comment4.xml><?xml version="1.0" encoding="utf-8"?>
<comments xmlns="http://schemas.openxmlformats.org/spreadsheetml/2006/main">
  <authors>
    <author>Investopia Academy</author>
  </authors>
  <commentList>
    <comment ref="B25" authorId="0" shapeId="0">
      <text>
        <t>Microsoft 365: =FILTER(BvA!B6:F29,BvA!G6:G29="Explain","No exceptions"). The INDEX/MATCH version here uses the exception number in BvA column K (hidden).</t>
      </text>
    </comment>
  </commentList>
</comments>
</file>

<file path=xl/comments/comment5.xml><?xml version="1.0" encoding="utf-8"?>
<comments xmlns="http://schemas.openxmlformats.org/spreadsheetml/2006/main">
  <authors>
    <author>Investopia Academy</author>
  </authors>
  <commentList>
    <comment ref="C10" authorId="0" shapeId="0">
      <text>
        <t>All, or one period name from Lists.</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 Type="http://schemas.openxmlformats.org/officeDocument/2006/relationships/chart" Target="/xl/charts/chart3.xml" Id="rId2"/><Relationship Type="http://schemas.openxmlformats.org/officeDocument/2006/relationships/chart" Target="/xl/charts/chart4.xml" Id="rId3"/></Relationships>
</file>

<file path=xl/drawings/drawing1.xml><?xml version="1.0" encoding="utf-8"?>
<wsDr xmlns="http://schemas.openxmlformats.org/drawingml/2006/spreadsheetDrawing">
  <oneCellAnchor>
    <from>
      <col>1</col>
      <colOff>0</colOff>
      <row>30</row>
      <rowOff>0</rowOff>
    </from>
    <ext cx="93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8</row>
      <rowOff>0</rowOff>
    </from>
    <ext cx="3744000" cy="266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8</row>
      <rowOff>0</rowOff>
    </from>
    <ext cx="3744000" cy="266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11</col>
      <colOff>0</colOff>
      <row>8</row>
      <rowOff>0</rowOff>
    </from>
    <ext cx="3744000" cy="266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tblPeriods" displayName="tblPeriods" ref="A3:D15" headerRowCount="1">
  <autoFilter ref="A3:D15"/>
  <tableColumns count="4">
    <tableColumn id="1" name="PeriodNo"/>
    <tableColumn id="2" name="Period"/>
    <tableColumn id="3" name="Start"/>
    <tableColumn id="4" name="End"/>
  </tableColumns>
  <tableStyleInfo name="TableStyleLight1" showFirstColumn="0" showLastColumn="0" showRowStripes="0" showColumnStripes="0"/>
</table>
</file>

<file path=xl/tables/table2.xml><?xml version="1.0" encoding="utf-8"?>
<table xmlns="http://schemas.openxmlformats.org/spreadsheetml/2006/main" id="2" name="tblAccounts" displayName="tblAccounts" ref="F3:J24" headerRowCount="1">
  <autoFilter ref="F3:J24"/>
  <tableColumns count="5">
    <tableColumn id="6" name="Code"/>
    <tableColumn id="7" name="Account name"/>
    <tableColumn id="8" name="Line"/>
    <tableColumn id="9" name="Section"/>
    <tableColumn id="10" name="Behavior"/>
  </tableColumns>
  <tableStyleInfo name="TableStyleLight1" showFirstColumn="0" showLastColumn="0" showRowStripes="0" showColumnStripes="0"/>
</table>
</file>

<file path=xl/tables/table3.xml><?xml version="1.0" encoding="utf-8"?>
<table xmlns="http://schemas.openxmlformats.org/spreadsheetml/2006/main" id="3" name="tblTxn" displayName="tblTxn" ref="A4:P52" headerRowCount="1">
  <autoFilter ref="A4:P52"/>
  <tableColumns count="16">
    <tableColumn id="1" name="Date"/>
    <tableColumn id="2" name="Period"/>
    <tableColumn id="3" name="PeriodNo"/>
    <tableColumn id="4" name="Ref"/>
    <tableColumn id="5" name="Account"/>
    <tableColumn id="6" name="Line"/>
    <tableColumn id="7" name="Type"/>
    <tableColumn id="8" name="Product"/>
    <tableColumn id="9" name="Counterparty"/>
    <tableColumn id="10" name="Region"/>
    <tableColumn id="11" name="Terms"/>
    <tableColumn id="12" name="Qty"/>
    <tableColumn id="13" name="Unit"/>
    <tableColumn id="14" name="Amount"/>
    <tableColumn id="15" name="VAT"/>
    <tableColumn id="16" name="Gross"/>
  </tableColumns>
  <tableStyleInfo name="TableStyleLight1" showFirstColumn="0" showLastColumn="0" showRowStripes="0" showColumnStripes="0"/>
</table>
</file>

<file path=xl/tables/table4.xml><?xml version="1.0" encoding="utf-8"?>
<table xmlns="http://schemas.openxmlformats.org/spreadsheetml/2006/main" id="4" name="tblBudget" displayName="tblBudget" ref="A4:N21" headerRowCount="1">
  <autoFilter ref="A4:N21"/>
  <tableColumns count="14">
    <tableColumn id="1" name="Line"/>
    <tableColumn id="2" name="P01 Hamle"/>
    <tableColumn id="3" name="P02 Nehase"/>
    <tableColumn id="4" name="P03 Meskerem"/>
    <tableColumn id="5" name="P04 Tikimt"/>
    <tableColumn id="6" name="P05 Hidar"/>
    <tableColumn id="7" name="P06 Tahsas"/>
    <tableColumn id="8" name="P07 Tir"/>
    <tableColumn id="9" name="P08 Yekatit"/>
    <tableColumn id="10" name="P09 Megabit"/>
    <tableColumn id="11" name="P10 Miyazia"/>
    <tableColumn id="12" name="P11 Ginbot"/>
    <tableColumn id="13" name="P12 Sene"/>
    <tableColumn id="14" name="Notes"/>
  </tableColumns>
  <tableStyleInfo name="TableStyleLight1" showFirstColumn="0" showLastColumn="0" showRowStripes="0" showColumnStripes="0"/>
</table>
</file>

<file path=xl/tables/table5.xml><?xml version="1.0" encoding="utf-8"?>
<table xmlns="http://schemas.openxmlformats.org/spreadsheetml/2006/main" id="5" name="tblAging" displayName="tblAging" ref="A4:J10" headerRowCount="1">
  <autoFilter ref="A4:J10"/>
  <tableColumns count="10">
    <tableColumn id="1" name="Customer"/>
    <tableColumn id="2" name="Credit limit"/>
    <tableColumn id="3" name="Current (0 to 30)"/>
    <tableColumn id="4" name="31 to 60"/>
    <tableColumn id="5" name="61 to 90"/>
    <tableColumn id="6" name="Over 90"/>
    <tableColumn id="7" name="Total"/>
    <tableColumn id="8" name="Over limit?"/>
    <tableColumn id="9" name="Withholding receipts outstanding"/>
    <tableColumn id="10" name="Action"/>
  </tableColumns>
  <tableStyleInfo name="TableStyleLight1" showFirstColumn="0" showLastColumn="0" showRowStripes="0" showColumnStripes="0"/>
</table>
</file>

<file path=xl/tables/table6.xml><?xml version="1.0" encoding="utf-8"?>
<table xmlns="http://schemas.openxmlformats.org/spreadsheetml/2006/main" id="6" name="tblStock" displayName="tblStock" ref="A4:M10" headerRowCount="1">
  <autoFilter ref="A4:M10"/>
  <tableColumns count="13">
    <tableColumn id="1" name="Code"/>
    <tableColumn id="2" name="Item"/>
    <tableColumn id="3" name="Unit"/>
    <tableColumn id="4" name="Book qty"/>
    <tableColumn id="5" name="Counted qty"/>
    <tableColumn id="6" name="Gap qty"/>
    <tableColumn id="7" name="Gap %"/>
    <tableColumn id="8" name="Unit cost"/>
    <tableColumn id="9" name="Gap value"/>
    <tableColumn id="10" name="Value after count"/>
    <tableColumn id="11" name="Flag"/>
    <tableColumn id="12" name="Count team"/>
    <tableColumn id="13" name="Approved by"/>
  </tableColumns>
  <tableStyleInfo name="TableStyleLight1" showFirstColumn="0" showLastColumn="0" showRowStripes="0" showColumnStripes="0"/>
</table>
</file>

<file path=xl/tables/table7.xml><?xml version="1.0" encoding="utf-8"?>
<table xmlns="http://schemas.openxmlformats.org/spreadsheetml/2006/main" id="7" name="tblAssets" displayName="tblAssets" ref="A4:Q11" headerRowCount="1">
  <autoFilter ref="A4:Q11"/>
  <tableColumns count="17">
    <tableColumn id="1" name="Tag"/>
    <tableColumn id="2" name="Asset"/>
    <tableColumn id="3" name="Location"/>
    <tableColumn id="4" name="Date available for use"/>
    <tableColumn id="5" name="Cost"/>
    <tableColumn id="6" name="Useful life (years)"/>
    <tableColumn id="7" name="Method"/>
    <tableColumn id="8" name="Monthly depreciation"/>
    <tableColumn id="9" name="Months depreciated to date"/>
    <tableColumn id="10" name="Accumulated depreciation"/>
    <tableColumn id="11" name="Net book value"/>
    <tableColumn id="12" name="Tax class"/>
    <tableColumn id="13" name="Tax rate"/>
    <tableColumn id="14" name="Annual tax depreciation"/>
    <tableColumn id="15" name="Last verified"/>
    <tableColumn id="16" name="Insured value"/>
    <tableColumn id="17" name="Posted to (lin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Relationship Type="http://schemas.openxmlformats.org/officeDocument/2006/relationships/table" Target="/xl/tables/table2.xml" Id="rId2"/></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9.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10.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11.xml.rels><Relationships xmlns="http://schemas.openxmlformats.org/package/2006/relationships"><Relationship Type="http://schemas.openxmlformats.org/officeDocument/2006/relationships/table" Target="/xl/tables/table5.xml" Id="rId1"/></Relationships>
</file>

<file path=xl/worksheets/_rels/sheet12.xml.rels><Relationships xmlns="http://schemas.openxmlformats.org/package/2006/relationships"><Relationship Type="http://schemas.openxmlformats.org/officeDocument/2006/relationships/table" Target="/xl/tables/table6.xml" Id="rId1"/></Relationships>
</file>

<file path=xl/worksheets/_rels/sheet13.xml.rels><Relationships xmlns="http://schemas.openxmlformats.org/package/2006/relationships"><Relationship Type="http://schemas.openxmlformats.org/officeDocument/2006/relationships/table" Target="/xl/tables/table7.xml" Id="rId1"/></Relationships>
</file>

<file path=xl/worksheets/_rels/sheet15.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18.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sheet1.xml><?xml version="1.0" encoding="utf-8"?>
<worksheet xmlns="http://schemas.openxmlformats.org/spreadsheetml/2006/main">
  <sheetPr>
    <tabColor rgb="000F4C3A"/>
    <outlinePr summaryBelow="1" summaryRight="1"/>
    <pageSetUpPr fitToPage="1"/>
  </sheetPr>
  <dimension ref="A1:C45"/>
  <sheetViews>
    <sheetView showGridLines="0" workbookViewId="0">
      <selection activeCell="A1" sqref="A1"/>
    </sheetView>
  </sheetViews>
  <sheetFormatPr baseColWidth="8" defaultRowHeight="15"/>
  <cols>
    <col width="5" customWidth="1" min="1" max="1"/>
    <col width="30" customWidth="1" min="2" max="2"/>
    <col width="100" customWidth="1" min="3" max="3"/>
  </cols>
  <sheetData>
    <row r="1" ht="26" customHeight="1">
      <c r="A1" s="1" t="inlineStr">
        <is>
          <t>SME monthly management dashboard workbook</t>
        </is>
      </c>
      <c r="B1" s="2" t="n"/>
      <c r="C1" s="2" t="n"/>
    </row>
    <row r="2" ht="33" customHeight="1">
      <c r="A2" s="3" t="inlineStr">
        <is>
          <t>Course: Financial Management for SMEs, Level 2: Financial Control and Decision Making (sme-financial-control, sme-l2). Practical exercise: "Create a monthly SME management dashboard".</t>
        </is>
      </c>
    </row>
    <row r="3"/>
    <row r="4">
      <c r="A4" s="4" t="inlineStr">
        <is>
          <t>Purpose</t>
        </is>
      </c>
    </row>
    <row r="5" ht="63" customHeight="1">
      <c r="A5" s="5" t="inlineStr">
        <is>
          <t>A formula-driven monthly reporting pack built on one transactions table: SUMIFS income statement, balance sheet, statement of cash flows, 13-week cash forecast, budget vs actual with variances, receivables aging, stock and fixed asset registers, ratios, a one-page dashboard and a checks sheet. It is filled with the course's running case, Kombolcha Flour and Pasta PLC, for P03 Meskerem 2019 E.C. (11 September to 10 October 2026, fiscal year 2026/27). Next month you only add data and refresh.</t>
        </is>
      </c>
    </row>
    <row r="6"/>
    <row r="7">
      <c r="A7" s="4" t="inlineStr">
        <is>
          <t>How to use this workbook</t>
        </is>
      </c>
    </row>
    <row r="8">
      <c r="A8" s="6" t="inlineStr">
        <is>
          <t>1.</t>
        </is>
      </c>
      <c r="B8" s="5" t="inlineStr">
        <is>
          <t>Choose the month in the Dashboard period drop-down (Dashboard cell C2). Settings!C4 reads it.</t>
        </is>
      </c>
    </row>
    <row r="9" ht="33" customHeight="1">
      <c r="A9" s="6" t="inlineStr">
        <is>
          <t>2.</t>
        </is>
      </c>
      <c r="B9" s="5" t="inlineStr">
        <is>
          <t>Paste or type the month's rows into the Transactions table (do not insert rows inside other sheets). The table grows when you type in the row under it; the formula columns are already filled to row 1004.</t>
        </is>
      </c>
    </row>
    <row r="10">
      <c r="A10" s="6" t="inlineStr">
        <is>
          <t>3.</t>
        </is>
      </c>
      <c r="B10" s="5" t="inlineStr">
        <is>
          <t>Map any new account code in Lists (tblAccounts, columns F to J); the Checks sheet counts unmapped rows.</t>
        </is>
      </c>
    </row>
    <row r="11">
      <c r="A11" s="6" t="inlineStr">
        <is>
          <t>4.</t>
        </is>
      </c>
      <c r="B11" s="5" t="inlineStr">
        <is>
          <t>Enter the month's budget in Budget, the trial balance closing balances in BS, the aging in Aging, the count in Stock and new assets in Assets.</t>
        </is>
      </c>
    </row>
    <row r="12" ht="33" customHeight="1">
      <c r="A12" s="6" t="inlineStr">
        <is>
          <t>5.</t>
        </is>
      </c>
      <c r="B12" s="5" t="inlineStr">
        <is>
          <t>If you insert real pivot tables (see the two Pivot sheets), use Data &gt; Refresh All (Ctrl+Alt+F5) after changing data. Then read the Checks sheet: every check must show 0.</t>
        </is>
      </c>
    </row>
    <row r="13">
      <c r="A13" s="6" t="inlineStr">
        <is>
          <t>6.</t>
        </is>
      </c>
      <c r="B13" s="5" t="inlineStr">
        <is>
          <t>Update the 13-week forecast in Forecast13 every Monday.</t>
        </is>
      </c>
    </row>
    <row r="14">
      <c r="A14" s="6" t="inlineStr">
        <is>
          <t>7.</t>
        </is>
      </c>
      <c r="B14" s="5" t="inlineStr">
        <is>
          <t>Save the closed month as a separate file, for example "Dashboard P03 Meskerem final".</t>
        </is>
      </c>
    </row>
    <row r="15"/>
    <row r="16">
      <c r="A16" s="4" t="inlineStr">
        <is>
          <t>Sheet guide</t>
        </is>
      </c>
    </row>
    <row r="17" ht="20" customHeight="1">
      <c r="A17" s="7" t="inlineStr"/>
      <c r="B17" s="7" t="inlineStr">
        <is>
          <t>Sheet</t>
        </is>
      </c>
      <c r="C17" s="7" t="inlineStr">
        <is>
          <t>How to use it</t>
        </is>
      </c>
    </row>
    <row r="18" ht="33" customHeight="1">
      <c r="A18" s="8" t="n"/>
      <c r="B18" s="9" t="inlineStr">
        <is>
          <t>Settings</t>
        </is>
      </c>
      <c r="C18" s="10" t="inlineStr">
        <is>
          <t>Company, fiscal year, tax rates (VAT 15% named VATRate, income tax 30%, minimum tax 2.5%), overdraft, variance flags, targets and Bank A covenants. C4 and C5 follow the dashboard period.</t>
        </is>
      </c>
    </row>
    <row r="19" ht="33" customHeight="1">
      <c r="A19" s="8" t="n"/>
      <c r="B19" s="9" t="inlineStr">
        <is>
          <t>Lists</t>
        </is>
      </c>
      <c r="C19" s="10" t="inlineStr">
        <is>
          <t>tblPeriods (12 periods; Pagume is included in P02 Nehase), tblAccounts (code, name, statement line, section, Variable or Fixed) and the small drop-down lists.</t>
        </is>
      </c>
    </row>
    <row r="20" ht="33" customHeight="1">
      <c r="A20" s="8" t="n"/>
      <c r="B20" s="9" t="inlineStr">
        <is>
          <t>Transactions</t>
        </is>
      </c>
      <c r="C20" s="10" t="inlineStr">
        <is>
          <t>Table tblTxn: one row per entry, amounts before VAT and all positive. Period, PeriodNo, Line, VAT and Gross calculate.</t>
        </is>
      </c>
    </row>
    <row r="21" ht="33" customHeight="1">
      <c r="A21" s="8" t="n"/>
      <c r="B21" s="9" t="inlineStr">
        <is>
          <t>Budget</t>
        </is>
      </c>
      <c r="C21" s="10" t="inlineStr">
        <is>
          <t>Table tblBudget: one row per statement line, one column per period. Budget drivers for the flex analysis below the table.</t>
        </is>
      </c>
    </row>
    <row r="22" ht="33" customHeight="1">
      <c r="A22" s="8" t="n"/>
      <c r="B22" s="9" t="inlineStr">
        <is>
          <t>IS, BS, CF</t>
        </is>
      </c>
      <c r="C22" s="10" t="inlineStr">
        <is>
          <t>Income statement by function (SUMIFS from tblTxn), balance sheet from the trial balance (retained earnings closing is a formula) and the indirect cash flow statement with the profit to cash bridge.</t>
        </is>
      </c>
    </row>
    <row r="23" ht="33" customHeight="1">
      <c r="A23" s="8" t="n"/>
      <c r="B23" s="9" t="inlineStr">
        <is>
          <t>Forecast13</t>
        </is>
      </c>
      <c r="C23" s="10" t="inlineStr">
        <is>
          <t>13-week cash forecast. Inputs in rows 5, 7, 8 and 10 to 19. Settings!C12 switches the planned actions on or off; rows 23 and 24 always show the base case.</t>
        </is>
      </c>
    </row>
    <row r="24" ht="33" customHeight="1">
      <c r="A24" s="8" t="n"/>
      <c r="B24" s="9" t="inlineStr">
        <is>
          <t>BvA</t>
        </is>
      </c>
      <c r="C24" s="10" t="inlineStr">
        <is>
          <t>Budget vs actual, favorable variances positive, Explain flags, explanation, owner and action columns, the flex (volume and price) analysis and break-even.</t>
        </is>
      </c>
    </row>
    <row r="25" ht="33" customHeight="1">
      <c r="A25" s="8" t="n"/>
      <c r="B25" s="9" t="inlineStr">
        <is>
          <t>Aging, Stock, Assets</t>
        </is>
      </c>
      <c r="C25" s="10" t="inlineStr">
        <is>
          <t>Receivables aging with the allowance matrix, stock count register with the wheat stock card and reorder level, and the fixed asset register with book and tax depreciation.</t>
        </is>
      </c>
    </row>
    <row r="26">
      <c r="A26" s="8" t="n"/>
      <c r="B26" s="9" t="inlineStr">
        <is>
          <t>Ratios</t>
        </is>
      </c>
      <c r="C26" s="10" t="inlineStr">
        <is>
          <t>Liquidity, profitability, efficiency, leverage and coverage, with targets, covenants and status.</t>
        </is>
      </c>
    </row>
    <row r="27">
      <c r="A27" s="8" t="n"/>
      <c r="B27" s="9" t="inlineStr">
        <is>
          <t>Dashboard</t>
        </is>
      </c>
      <c r="C27" s="10" t="inlineStr">
        <is>
          <t>One printable page: KPI tiles, three charts, exceptions, ratio strip and overall status.</t>
        </is>
      </c>
    </row>
    <row r="28">
      <c r="A28" s="8" t="n"/>
      <c r="B28" s="9" t="inlineStr">
        <is>
          <t>Checks</t>
        </is>
      </c>
      <c r="C28" s="10" t="inlineStr">
        <is>
          <t>Thirteen reconciliation checks. Every check must show 0 before the pack is sent.</t>
        </is>
      </c>
    </row>
    <row r="29" ht="33" customHeight="1">
      <c r="A29" s="8" t="n"/>
      <c r="B29" s="9" t="inlineStr">
        <is>
          <t>Pivot by line, Pivot sales by customer</t>
        </is>
      </c>
      <c r="C29" s="10" t="inlineStr">
        <is>
          <t>SUMIFS versions of the two pivot tables with filter cells, plus instructions to insert the real pivots from tblTxn.</t>
        </is>
      </c>
    </row>
    <row r="30"/>
    <row r="31">
      <c r="A31" s="4" t="inlineStr">
        <is>
          <t>Rules and assumptions used in the sample</t>
        </is>
      </c>
    </row>
    <row r="32">
      <c r="A32" s="5" t="inlineStr">
        <is>
          <t>For the case, all sales are assumed to be standard-rated for VAT at 15%. Check your own products' VAT status.</t>
        </is>
      </c>
    </row>
    <row r="33">
      <c r="A33" s="5" t="inlineStr">
        <is>
          <t>Cash payment rule: payments above ETB 50,000 go through the bank (Income Tax (Amendment) Proclamation No. 1395/2025).</t>
        </is>
      </c>
    </row>
    <row r="34" ht="33" customHeight="1">
      <c r="A34" s="5" t="inlineStr">
        <is>
          <t>Statutory dates used in the forecast: VAT and PAYE by the end of the following month; pension within 30 days after the month of salary; annual company income tax return within four months of the year-end.</t>
        </is>
      </c>
    </row>
    <row r="35"/>
    <row r="36">
      <c r="A36" s="4" t="inlineStr">
        <is>
          <t>Formulas for older Excel</t>
        </is>
      </c>
    </row>
    <row r="37" ht="63" customHeight="1">
      <c r="A37" s="5" t="inlineStr">
        <is>
          <t>The workbook uses INDEX/MATCH, SUMIFS and COUNTIF so it works in Excel 2010 and later and in LibreOffice. Where the course shows Microsoft 365 formulas, the cell comment gives the modern version: Transactions Period =XLOOKUP([@Date],tblPeriods[Start],tblPeriods[Period],"No period",-1); Line =XLOOKUP([@Account],tblAccounts[Code],tblAccounts[Line],"UNMAPPED"); BvA budget =XLOOKUP($B6,tblBudget[Line],XLOOKUP(Settings!$C$4,tblBudget[#Headers],tblBudget)); Dashboard exceptions =FILTER(BvA!B6:F29,BvA!G6:G29="Explain","No exceptions").</t>
        </is>
      </c>
    </row>
    <row r="38" ht="33" customHeight="1">
      <c r="A38" s="5" t="inlineStr">
        <is>
          <t>Pivot tables cannot be saved by the tool that built this file, so the two Pivot sheets hold SUMIFS versions with the same layout and totals. To add a real pivot: click any cell in tblTxn, choose Insert &gt; PivotTable, place it on the Pivot sheet and drag the fields as described in the box on that sheet.</t>
        </is>
      </c>
    </row>
    <row r="39"/>
    <row r="40">
      <c r="A40" s="4" t="inlineStr">
        <is>
          <t>Cell colors, tax rates and sample data</t>
        </is>
      </c>
    </row>
    <row r="41" ht="33" customHeight="1">
      <c r="A41" s="5" t="inlineStr">
        <is>
          <t>Light yellow cells are inputs: type over them or clear them for your own data. Unshaded cells hold formulas that calculate automatically; do not type over them. Check cells turn green at 0 and red otherwise.</t>
        </is>
      </c>
    </row>
    <row r="42" ht="33" customHeight="1">
      <c r="A42" s="5" t="inlineStr">
        <is>
          <t>Tax rates and thresholds in this workbook reflect the course sources as of October 2026. Check them against current Ministry of Revenues guidance (and your accountant or tax adviser) before you rely on them.</t>
        </is>
      </c>
    </row>
    <row r="43" ht="33" customHeight="1">
      <c r="A43" s="5" t="inlineStr">
        <is>
          <t>Sample data is fictional: Kombolcha Flour and Pasta PLC, its customers, staff, Bank A and the loan agreement covenants are invented for the course. Replace them with your own figures.</t>
        </is>
      </c>
    </row>
    <row r="44"/>
    <row r="45" ht="22" customHeight="1">
      <c r="A45" s="11" t="inlineStr">
        <is>
          <t>Investopia Academy · A platform by Erudite Africa Investments PLC · investopia.et</t>
        </is>
      </c>
      <c r="B45" s="12" t="n"/>
      <c r="C45" s="12" t="n"/>
    </row>
  </sheetData>
  <mergeCells count="18">
    <mergeCell ref="B13:C13"/>
    <mergeCell ref="A42:C42"/>
    <mergeCell ref="A41:C41"/>
    <mergeCell ref="A33:C33"/>
    <mergeCell ref="A5:C5"/>
    <mergeCell ref="B11:C11"/>
    <mergeCell ref="A32:C32"/>
    <mergeCell ref="A37:C37"/>
    <mergeCell ref="A45:C45"/>
    <mergeCell ref="B10:C10"/>
    <mergeCell ref="B14:C14"/>
    <mergeCell ref="A34:C34"/>
    <mergeCell ref="B9:C9"/>
    <mergeCell ref="B8:C8"/>
    <mergeCell ref="A43:C43"/>
    <mergeCell ref="A38:C38"/>
    <mergeCell ref="A2:C2"/>
    <mergeCell ref="B12:C1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D29"/>
  <sheetViews>
    <sheetView showGridLines="0" workbookViewId="0">
      <pane ySplit="1" topLeftCell="A2" activePane="bottomLeft" state="frozen"/>
      <selection pane="bottomLeft" activeCell="A1" sqref="A1"/>
    </sheetView>
  </sheetViews>
  <sheetFormatPr baseColWidth="8" defaultRowHeight="15"/>
  <cols>
    <col width="3" customWidth="1" min="1" max="1"/>
    <col width="46" customWidth="1" min="2" max="2"/>
    <col width="30" customWidth="1" min="3" max="3"/>
    <col width="60" customWidth="1" min="4" max="4"/>
  </cols>
  <sheetData>
    <row r="1" ht="32" customHeight="1">
      <c r="A1" s="1" t="inlineStr">
        <is>
          <t>Settings</t>
        </is>
      </c>
      <c r="B1" s="2" t="n"/>
      <c r="C1" s="2" t="n"/>
      <c r="D1" s="2" t="n"/>
    </row>
    <row r="2">
      <c r="B2" s="9" t="inlineStr">
        <is>
          <t>Company name</t>
        </is>
      </c>
      <c r="C2" s="13" t="inlineStr">
        <is>
          <t>Kombolcha Flour and Pasta PLC</t>
        </is>
      </c>
      <c r="D2" s="14" t="inlineStr">
        <is>
          <t>input</t>
        </is>
      </c>
    </row>
    <row r="3" ht="33" customHeight="1">
      <c r="B3" s="9" t="inlineStr">
        <is>
          <t>Fiscal year</t>
        </is>
      </c>
      <c r="C3" s="13" t="inlineStr">
        <is>
          <t>2026/27 (2019 E.C.), 8 July 2026 to 7 July 2027</t>
        </is>
      </c>
      <c r="D3" s="14" t="inlineStr">
        <is>
          <t>input</t>
        </is>
      </c>
    </row>
    <row r="4">
      <c r="B4" s="9" t="inlineStr">
        <is>
          <t>Current period</t>
        </is>
      </c>
      <c r="C4" s="15">
        <f>Dashboard!C2</f>
        <v/>
      </c>
      <c r="D4" s="14" t="inlineStr">
        <is>
          <t>formula; the drop-down lives on the dashboard (cell C2)</t>
        </is>
      </c>
    </row>
    <row r="5" ht="33" customHeight="1">
      <c r="B5" s="9" t="inlineStr">
        <is>
          <t>Current period number</t>
        </is>
      </c>
      <c r="C5" s="16">
        <f>INDEX(Lists!$A$4:$A$15,MATCH(C4,Lists!$B$4:$B$15,0))</f>
        <v/>
      </c>
      <c r="D5" s="14" t="inlineStr">
        <is>
          <t>formula; Microsoft 365: =XLOOKUP(C4,tblPeriods[Period],tblPeriods[PeriodNo])</t>
        </is>
      </c>
    </row>
    <row r="6">
      <c r="B6" s="9" t="inlineStr">
        <is>
          <t>VAT rate (name: VATRate)</t>
        </is>
      </c>
      <c r="C6" s="17" t="n">
        <v>0.15</v>
      </c>
      <c r="D6" s="14" t="inlineStr">
        <is>
          <t>input</t>
        </is>
      </c>
    </row>
    <row r="7">
      <c r="B7" s="9" t="inlineStr">
        <is>
          <t>Corporate income tax rate</t>
        </is>
      </c>
      <c r="C7" s="17" t="n">
        <v>0.3</v>
      </c>
      <c r="D7" s="14" t="inlineStr">
        <is>
          <t>input</t>
        </is>
      </c>
    </row>
    <row r="8">
      <c r="B8" s="9" t="inlineStr">
        <is>
          <t>Minimum alternative tax rate (of turnover)</t>
        </is>
      </c>
      <c r="C8" s="18" t="n">
        <v>0.025</v>
      </c>
      <c r="D8" s="14" t="inlineStr">
        <is>
          <t>input</t>
        </is>
      </c>
    </row>
    <row r="9">
      <c r="B9" s="9" t="inlineStr">
        <is>
          <t>Overdraft limit (Bank A)</t>
        </is>
      </c>
      <c r="C9" s="19" t="n">
        <v>3000000</v>
      </c>
      <c r="D9" s="14" t="inlineStr">
        <is>
          <t>input</t>
        </is>
      </c>
    </row>
    <row r="10">
      <c r="B10" s="9" t="inlineStr">
        <is>
          <t>Variance flag: amount</t>
        </is>
      </c>
      <c r="C10" s="19" t="n">
        <v>50000</v>
      </c>
      <c r="D10" s="14" t="inlineStr">
        <is>
          <t>input</t>
        </is>
      </c>
    </row>
    <row r="11">
      <c r="B11" s="9" t="inlineStr">
        <is>
          <t>Variance flag: percent of budget</t>
        </is>
      </c>
      <c r="C11" s="17" t="n">
        <v>0.1</v>
      </c>
      <c r="D11" s="14" t="inlineStr">
        <is>
          <t>input</t>
        </is>
      </c>
    </row>
    <row r="12">
      <c r="B12" s="9" t="inlineStr">
        <is>
          <t>Include planned actions in forecast</t>
        </is>
      </c>
      <c r="C12" s="13" t="inlineStr">
        <is>
          <t>Yes</t>
        </is>
      </c>
      <c r="D12" s="14" t="inlineStr">
        <is>
          <t>input, Yes or No</t>
        </is>
      </c>
    </row>
    <row r="13">
      <c r="B13" s="9" t="inlineStr">
        <is>
          <t>Approved or requested overdraft increase</t>
        </is>
      </c>
      <c r="C13" s="19" t="n">
        <v>1000000</v>
      </c>
      <c r="D13" s="14" t="inlineStr">
        <is>
          <t>input</t>
        </is>
      </c>
    </row>
    <row r="14">
      <c r="B14" s="9" t="inlineStr">
        <is>
          <t>DSO target (days)</t>
        </is>
      </c>
      <c r="C14" s="20" t="n">
        <v>30</v>
      </c>
      <c r="D14" s="14" t="inlineStr">
        <is>
          <t>input</t>
        </is>
      </c>
    </row>
    <row r="15">
      <c r="B15" s="9" t="inlineStr">
        <is>
          <t>DIO target (days)</t>
        </is>
      </c>
      <c r="C15" s="20" t="n">
        <v>30</v>
      </c>
      <c r="D15" s="14" t="inlineStr">
        <is>
          <t>input</t>
        </is>
      </c>
    </row>
    <row r="16">
      <c r="B16" s="9" t="inlineStr">
        <is>
          <t>DPO target (days)</t>
        </is>
      </c>
      <c r="C16" s="20" t="n">
        <v>30</v>
      </c>
      <c r="D16" s="14" t="inlineStr">
        <is>
          <t>input</t>
        </is>
      </c>
    </row>
    <row r="17">
      <c r="B17" s="9" t="inlineStr">
        <is>
          <t>Current ratio target</t>
        </is>
      </c>
      <c r="C17" s="21" t="n">
        <v>1.5</v>
      </c>
      <c r="D17" s="14" t="inlineStr">
        <is>
          <t>input</t>
        </is>
      </c>
    </row>
    <row r="18">
      <c r="B18" s="9" t="inlineStr">
        <is>
          <t>Quick ratio target</t>
        </is>
      </c>
      <c r="C18" s="21" t="n">
        <v>1</v>
      </c>
      <c r="D18" s="14" t="inlineStr">
        <is>
          <t>input</t>
        </is>
      </c>
    </row>
    <row r="19">
      <c r="B19" s="9" t="inlineStr">
        <is>
          <t>Overdraft drawn at forecast start</t>
        </is>
      </c>
      <c r="C19" s="19" t="n">
        <v>2600000</v>
      </c>
      <c r="D19" s="14" t="inlineStr">
        <is>
          <t>input</t>
        </is>
      </c>
    </row>
    <row r="20">
      <c r="B20" s="9" t="inlineStr">
        <is>
          <t>First forecast week of the overdraft increase</t>
        </is>
      </c>
      <c r="C20" s="20" t="n">
        <v>5</v>
      </c>
      <c r="D20" s="14" t="inlineStr">
        <is>
          <t>input</t>
        </is>
      </c>
    </row>
    <row r="21">
      <c r="B21" s="9" t="inlineStr">
        <is>
          <t>Stock count tolerance: percent of quantity</t>
        </is>
      </c>
      <c r="C21" s="18" t="n">
        <v>0.005</v>
      </c>
      <c r="D21" s="14" t="inlineStr">
        <is>
          <t>input</t>
        </is>
      </c>
    </row>
    <row r="22">
      <c r="B22" s="9" t="inlineStr">
        <is>
          <t>Stock count tolerance: amount per item</t>
        </is>
      </c>
      <c r="C22" s="19" t="n">
        <v>10000</v>
      </c>
      <c r="D22" s="14" t="inlineStr">
        <is>
          <t>input</t>
        </is>
      </c>
    </row>
    <row r="23">
      <c r="B23" s="9" t="inlineStr">
        <is>
          <t>Bank A covenant: current ratio minimum</t>
        </is>
      </c>
      <c r="C23" s="21" t="n">
        <v>1.25</v>
      </c>
      <c r="D23" s="14" t="inlineStr">
        <is>
          <t>input (fictional loan agreement)</t>
        </is>
      </c>
    </row>
    <row r="24">
      <c r="B24" s="9" t="inlineStr">
        <is>
          <t>Bank A covenant: debt to equity maximum</t>
        </is>
      </c>
      <c r="C24" s="21" t="n">
        <v>1.5</v>
      </c>
      <c r="D24" s="14" t="inlineStr">
        <is>
          <t>input</t>
        </is>
      </c>
    </row>
    <row r="25">
      <c r="B25" s="9" t="inlineStr">
        <is>
          <t>Bank A covenant: DSCR minimum</t>
        </is>
      </c>
      <c r="C25" s="21" t="n">
        <v>1.25</v>
      </c>
      <c r="D25" s="14" t="inlineStr">
        <is>
          <t>input</t>
        </is>
      </c>
    </row>
    <row r="26">
      <c r="B26" s="9" t="inlineStr">
        <is>
          <t>Current period start</t>
        </is>
      </c>
      <c r="C26" s="22">
        <f>INDEX(Lists!$C$4:$C$15,C5)</f>
        <v/>
      </c>
      <c r="D26" s="14" t="inlineStr">
        <is>
          <t>formula</t>
        </is>
      </c>
    </row>
    <row r="27">
      <c r="B27" s="9" t="inlineStr">
        <is>
          <t>Current period end</t>
        </is>
      </c>
      <c r="C27" s="22">
        <f>INDEX(Lists!$D$4:$D$15,C5)</f>
        <v/>
      </c>
      <c r="D27" s="14" t="inlineStr">
        <is>
          <t>formula</t>
        </is>
      </c>
    </row>
    <row r="28"/>
    <row r="29" ht="22" customHeight="1">
      <c r="A29" s="11" t="inlineStr">
        <is>
          <t>Investopia Academy · A platform by Erudite Africa Investments PLC · investopia.et</t>
        </is>
      </c>
      <c r="B29" s="12" t="n"/>
      <c r="C29" s="12" t="n"/>
      <c r="D29" s="12" t="n"/>
    </row>
  </sheetData>
  <mergeCells count="1">
    <mergeCell ref="A29:D29"/>
  </mergeCells>
  <dataValidations count="1">
    <dataValidation sqref="C12"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P40"/>
  <sheetViews>
    <sheetView showGridLines="0" workbookViewId="0">
      <pane ySplit="3" topLeftCell="A4" activePane="bottomLeft" state="frozen"/>
      <selection pane="bottomLeft" activeCell="A1" sqref="A1"/>
    </sheetView>
  </sheetViews>
  <sheetFormatPr baseColWidth="8" defaultRowHeight="15"/>
  <cols>
    <col width="9" customWidth="1" min="1" max="1"/>
    <col width="15" customWidth="1" min="2" max="2"/>
    <col width="12" customWidth="1" min="3" max="3"/>
    <col width="12" customWidth="1" min="4" max="4"/>
    <col width="3" customWidth="1" min="5" max="5"/>
    <col width="8" customWidth="1" min="6" max="6"/>
    <col width="32" customWidth="1" min="7" max="7"/>
    <col width="30" customWidth="1" min="8" max="8"/>
    <col width="15" customWidth="1" min="9" max="9"/>
    <col width="10" customWidth="1" min="10" max="10"/>
    <col width="3" customWidth="1" min="11" max="11"/>
    <col width="10" customWidth="1" min="12" max="12"/>
    <col width="13" customWidth="1" min="13" max="13"/>
    <col width="11" customWidth="1" min="14" max="14"/>
    <col width="10" customWidth="1" min="15" max="15"/>
    <col width="8" customWidth="1" min="16" max="16"/>
  </cols>
  <sheetData>
    <row r="1" ht="26" customHeight="1">
      <c r="A1" s="1" t="inlineStr">
        <is>
          <t>Lists: periods, accounts and drop-down values</t>
        </is>
      </c>
      <c r="B1" s="2" t="n"/>
      <c r="C1" s="2" t="n"/>
      <c r="D1" s="2" t="n"/>
      <c r="E1" s="2" t="n"/>
      <c r="F1" s="2" t="n"/>
      <c r="G1" s="2" t="n"/>
      <c r="H1" s="2" t="n"/>
      <c r="I1" s="2" t="n"/>
      <c r="J1" s="2" t="n"/>
      <c r="K1" s="2" t="n"/>
      <c r="L1" s="2" t="n"/>
      <c r="M1" s="2" t="n"/>
      <c r="N1" s="2" t="n"/>
      <c r="O1" s="2" t="n"/>
      <c r="P1" s="2" t="n"/>
    </row>
    <row r="2">
      <c r="A2" s="23" t="inlineStr">
        <is>
          <t>Add new account codes in the yellow rows under tblAccounts; every code used in Transactions must be mapped to a statement line.</t>
        </is>
      </c>
    </row>
    <row r="3" ht="32" customHeight="1">
      <c r="A3" s="7" t="inlineStr">
        <is>
          <t>PeriodNo</t>
        </is>
      </c>
      <c r="B3" s="7" t="inlineStr">
        <is>
          <t>Period</t>
        </is>
      </c>
      <c r="C3" s="7" t="inlineStr">
        <is>
          <t>Start</t>
        </is>
      </c>
      <c r="D3" s="7" t="inlineStr">
        <is>
          <t>End</t>
        </is>
      </c>
      <c r="F3" s="7" t="inlineStr">
        <is>
          <t>Code</t>
        </is>
      </c>
      <c r="G3" s="7" t="inlineStr">
        <is>
          <t>Account name</t>
        </is>
      </c>
      <c r="H3" s="7" t="inlineStr">
        <is>
          <t>Line</t>
        </is>
      </c>
      <c r="I3" s="7" t="inlineStr">
        <is>
          <t>Section</t>
        </is>
      </c>
      <c r="J3" s="7" t="inlineStr">
        <is>
          <t>Behavior</t>
        </is>
      </c>
      <c r="L3" s="7" t="inlineStr">
        <is>
          <t>Terms</t>
        </is>
      </c>
      <c r="M3" s="7" t="inlineStr">
        <is>
          <t>Region</t>
        </is>
      </c>
      <c r="N3" s="7" t="inlineStr">
        <is>
          <t>Product</t>
        </is>
      </c>
      <c r="O3" s="7" t="inlineStr">
        <is>
          <t>Type</t>
        </is>
      </c>
      <c r="P3" s="7" t="inlineStr">
        <is>
          <t>YesNo</t>
        </is>
      </c>
    </row>
    <row r="4">
      <c r="A4" s="24" t="n">
        <v>1</v>
      </c>
      <c r="B4" s="25" t="inlineStr">
        <is>
          <t>P01 Hamle</t>
        </is>
      </c>
      <c r="C4" s="26" t="n">
        <v>46211</v>
      </c>
      <c r="D4" s="26" t="n">
        <v>46240</v>
      </c>
      <c r="F4" s="24" t="n">
        <v>4010</v>
      </c>
      <c r="G4" s="25" t="inlineStr">
        <is>
          <t>Flour sales</t>
        </is>
      </c>
      <c r="H4" s="25" t="inlineStr">
        <is>
          <t>Revenue: flour</t>
        </is>
      </c>
      <c r="I4" s="25" t="inlineStr">
        <is>
          <t>Revenue</t>
        </is>
      </c>
      <c r="J4" s="25" t="n"/>
      <c r="L4" s="25" t="inlineStr">
        <is>
          <t>Credit</t>
        </is>
      </c>
      <c r="M4" s="25" t="inlineStr">
        <is>
          <t>Addis Ababa</t>
        </is>
      </c>
      <c r="N4" s="25" t="inlineStr">
        <is>
          <t>Flour</t>
        </is>
      </c>
      <c r="O4" s="25" t="inlineStr">
        <is>
          <t>Revenue</t>
        </is>
      </c>
      <c r="P4" s="25" t="inlineStr">
        <is>
          <t>Yes</t>
        </is>
      </c>
    </row>
    <row r="5">
      <c r="A5" s="24" t="n">
        <v>2</v>
      </c>
      <c r="B5" s="25" t="inlineStr">
        <is>
          <t>P02 Nehase</t>
        </is>
      </c>
      <c r="C5" s="26" t="n">
        <v>46241</v>
      </c>
      <c r="D5" s="26" t="n">
        <v>46275</v>
      </c>
      <c r="F5" s="24" t="n">
        <v>4020</v>
      </c>
      <c r="G5" s="25" t="inlineStr">
        <is>
          <t>Pasta sales</t>
        </is>
      </c>
      <c r="H5" s="25" t="inlineStr">
        <is>
          <t>Revenue: pasta</t>
        </is>
      </c>
      <c r="I5" s="25" t="inlineStr">
        <is>
          <t>Revenue</t>
        </is>
      </c>
      <c r="J5" s="25" t="n"/>
      <c r="L5" s="25" t="inlineStr">
        <is>
          <t>Cash</t>
        </is>
      </c>
      <c r="M5" s="25" t="inlineStr">
        <is>
          <t>Dessie</t>
        </is>
      </c>
      <c r="N5" s="25" t="inlineStr">
        <is>
          <t>Pasta</t>
        </is>
      </c>
      <c r="O5" s="25" t="inlineStr">
        <is>
          <t>Expense</t>
        </is>
      </c>
      <c r="P5" s="25" t="inlineStr">
        <is>
          <t>No</t>
        </is>
      </c>
    </row>
    <row r="6">
      <c r="A6" s="24" t="n">
        <v>3</v>
      </c>
      <c r="B6" s="25" t="inlineStr">
        <is>
          <t>P03 Meskerem</t>
        </is>
      </c>
      <c r="C6" s="26" t="n">
        <v>46276</v>
      </c>
      <c r="D6" s="26" t="n">
        <v>46305</v>
      </c>
      <c r="F6" s="24" t="n">
        <v>4030</v>
      </c>
      <c r="G6" s="25" t="inlineStr">
        <is>
          <t>Bran sales</t>
        </is>
      </c>
      <c r="H6" s="25" t="inlineStr">
        <is>
          <t>Revenue: bran</t>
        </is>
      </c>
      <c r="I6" s="25" t="inlineStr">
        <is>
          <t>Revenue</t>
        </is>
      </c>
      <c r="J6" s="25" t="n"/>
      <c r="L6" s="25" t="inlineStr">
        <is>
          <t>Bank</t>
        </is>
      </c>
      <c r="M6" s="25" t="inlineStr">
        <is>
          <t>Woldia</t>
        </is>
      </c>
      <c r="N6" s="25" t="inlineStr">
        <is>
          <t>Bran</t>
        </is>
      </c>
    </row>
    <row r="7">
      <c r="A7" s="24" t="n">
        <v>4</v>
      </c>
      <c r="B7" s="25" t="inlineStr">
        <is>
          <t>P04 Tikimt</t>
        </is>
      </c>
      <c r="C7" s="26" t="n">
        <v>46306</v>
      </c>
      <c r="D7" s="26" t="n">
        <v>46335</v>
      </c>
      <c r="F7" s="24" t="n">
        <v>5010</v>
      </c>
      <c r="G7" s="25" t="inlineStr">
        <is>
          <t>Materials in goods sold</t>
        </is>
      </c>
      <c r="H7" s="25" t="inlineStr">
        <is>
          <t>Materials</t>
        </is>
      </c>
      <c r="I7" s="25" t="inlineStr">
        <is>
          <t>Cost of sales</t>
        </is>
      </c>
      <c r="J7" s="25" t="inlineStr">
        <is>
          <t>Variable</t>
        </is>
      </c>
      <c r="L7" s="25" t="inlineStr">
        <is>
          <t>Non-cash</t>
        </is>
      </c>
      <c r="M7" s="25" t="inlineStr">
        <is>
          <t>Kombolcha</t>
        </is>
      </c>
      <c r="N7" s="25" t="inlineStr">
        <is>
          <t>Packaging</t>
        </is>
      </c>
    </row>
    <row r="8">
      <c r="A8" s="24" t="n">
        <v>5</v>
      </c>
      <c r="B8" s="25" t="inlineStr">
        <is>
          <t>P05 Hidar</t>
        </is>
      </c>
      <c r="C8" s="26" t="n">
        <v>46336</v>
      </c>
      <c r="D8" s="26" t="n">
        <v>46365</v>
      </c>
      <c r="F8" s="24" t="n">
        <v>5020</v>
      </c>
      <c r="G8" s="25" t="inlineStr">
        <is>
          <t>Stock count adjustment</t>
        </is>
      </c>
      <c r="H8" s="25" t="inlineStr">
        <is>
          <t>Stock count adjustment</t>
        </is>
      </c>
      <c r="I8" s="25" t="inlineStr">
        <is>
          <t>Cost of sales</t>
        </is>
      </c>
      <c r="J8" s="25" t="inlineStr">
        <is>
          <t>Fixed</t>
        </is>
      </c>
      <c r="M8" s="25" t="inlineStr">
        <is>
          <t>All</t>
        </is>
      </c>
      <c r="N8" s="25" t="inlineStr">
        <is>
          <t>General</t>
        </is>
      </c>
    </row>
    <row r="9">
      <c r="A9" s="24" t="n">
        <v>6</v>
      </c>
      <c r="B9" s="25" t="inlineStr">
        <is>
          <t>P06 Tahsas</t>
        </is>
      </c>
      <c r="C9" s="26" t="n">
        <v>46366</v>
      </c>
      <c r="D9" s="26" t="n">
        <v>46395</v>
      </c>
      <c r="F9" s="24" t="n">
        <v>5030</v>
      </c>
      <c r="G9" s="25" t="inlineStr">
        <is>
          <t>Packaging used</t>
        </is>
      </c>
      <c r="H9" s="25" t="inlineStr">
        <is>
          <t>Packaging</t>
        </is>
      </c>
      <c r="I9" s="25" t="inlineStr">
        <is>
          <t>Cost of sales</t>
        </is>
      </c>
      <c r="J9" s="25" t="inlineStr">
        <is>
          <t>Variable</t>
        </is>
      </c>
    </row>
    <row r="10">
      <c r="A10" s="24" t="n">
        <v>7</v>
      </c>
      <c r="B10" s="25" t="inlineStr">
        <is>
          <t>P07 Tir</t>
        </is>
      </c>
      <c r="C10" s="26" t="n">
        <v>46396</v>
      </c>
      <c r="D10" s="26" t="n">
        <v>46425</v>
      </c>
      <c r="F10" s="24" t="n">
        <v>5040</v>
      </c>
      <c r="G10" s="25" t="inlineStr">
        <is>
          <t>Direct labor</t>
        </is>
      </c>
      <c r="H10" s="25" t="inlineStr">
        <is>
          <t>Direct labor</t>
        </is>
      </c>
      <c r="I10" s="25" t="inlineStr">
        <is>
          <t>Cost of sales</t>
        </is>
      </c>
      <c r="J10" s="25" t="inlineStr">
        <is>
          <t>Fixed</t>
        </is>
      </c>
    </row>
    <row r="11">
      <c r="A11" s="24" t="n">
        <v>8</v>
      </c>
      <c r="B11" s="25" t="inlineStr">
        <is>
          <t>P08 Yekatit</t>
        </is>
      </c>
      <c r="C11" s="26" t="n">
        <v>46426</v>
      </c>
      <c r="D11" s="26" t="n">
        <v>46455</v>
      </c>
      <c r="F11" s="24" t="n">
        <v>5050</v>
      </c>
      <c r="G11" s="25" t="inlineStr">
        <is>
          <t>Factory power and maintenance</t>
        </is>
      </c>
      <c r="H11" s="25" t="inlineStr">
        <is>
          <t>Factory power and maintenance</t>
        </is>
      </c>
      <c r="I11" s="25" t="inlineStr">
        <is>
          <t>Cost of sales</t>
        </is>
      </c>
      <c r="J11" s="25" t="inlineStr">
        <is>
          <t>Fixed</t>
        </is>
      </c>
    </row>
    <row r="12">
      <c r="A12" s="24" t="n">
        <v>9</v>
      </c>
      <c r="B12" s="25" t="inlineStr">
        <is>
          <t>P09 Megabit</t>
        </is>
      </c>
      <c r="C12" s="26" t="n">
        <v>46456</v>
      </c>
      <c r="D12" s="26" t="n">
        <v>46485</v>
      </c>
      <c r="F12" s="24" t="n">
        <v>5060</v>
      </c>
      <c r="G12" s="25" t="inlineStr">
        <is>
          <t>Depreciation, factory</t>
        </is>
      </c>
      <c r="H12" s="25" t="inlineStr">
        <is>
          <t>Factory depreciation</t>
        </is>
      </c>
      <c r="I12" s="25" t="inlineStr">
        <is>
          <t>Cost of sales</t>
        </is>
      </c>
      <c r="J12" s="25" t="inlineStr">
        <is>
          <t>Fixed</t>
        </is>
      </c>
    </row>
    <row r="13">
      <c r="A13" s="24" t="n">
        <v>10</v>
      </c>
      <c r="B13" s="25" t="inlineStr">
        <is>
          <t>P10 Miyazia</t>
        </is>
      </c>
      <c r="C13" s="26" t="n">
        <v>46486</v>
      </c>
      <c r="D13" s="26" t="n">
        <v>46515</v>
      </c>
      <c r="F13" s="24" t="n">
        <v>6010</v>
      </c>
      <c r="G13" s="25" t="inlineStr">
        <is>
          <t>Transport out</t>
        </is>
      </c>
      <c r="H13" s="25" t="inlineStr">
        <is>
          <t>Selling and distribution</t>
        </is>
      </c>
      <c r="I13" s="25" t="inlineStr">
        <is>
          <t>Selling</t>
        </is>
      </c>
      <c r="J13" s="25" t="inlineStr">
        <is>
          <t>Variable</t>
        </is>
      </c>
    </row>
    <row r="14">
      <c r="A14" s="24" t="n">
        <v>11</v>
      </c>
      <c r="B14" s="25" t="inlineStr">
        <is>
          <t>P11 Ginbot</t>
        </is>
      </c>
      <c r="C14" s="26" t="n">
        <v>46516</v>
      </c>
      <c r="D14" s="26" t="n">
        <v>46545</v>
      </c>
      <c r="F14" s="24" t="n">
        <v>6020</v>
      </c>
      <c r="G14" s="25" t="inlineStr">
        <is>
          <t>Sales commissions</t>
        </is>
      </c>
      <c r="H14" s="25" t="inlineStr">
        <is>
          <t>Selling and distribution</t>
        </is>
      </c>
      <c r="I14" s="25" t="inlineStr">
        <is>
          <t>Selling</t>
        </is>
      </c>
      <c r="J14" s="25" t="inlineStr">
        <is>
          <t>Variable</t>
        </is>
      </c>
    </row>
    <row r="15">
      <c r="A15" s="24" t="n">
        <v>12</v>
      </c>
      <c r="B15" s="25" t="inlineStr">
        <is>
          <t>P12 Sene</t>
        </is>
      </c>
      <c r="C15" s="26" t="n">
        <v>46546</v>
      </c>
      <c r="D15" s="26" t="n">
        <v>46575</v>
      </c>
      <c r="F15" s="24" t="n">
        <v>6030</v>
      </c>
      <c r="G15" s="25" t="inlineStr">
        <is>
          <t>Sales staff salaries</t>
        </is>
      </c>
      <c r="H15" s="25" t="inlineStr">
        <is>
          <t>Selling and distribution</t>
        </is>
      </c>
      <c r="I15" s="25" t="inlineStr">
        <is>
          <t>Selling</t>
        </is>
      </c>
      <c r="J15" s="25" t="inlineStr">
        <is>
          <t>Fixed</t>
        </is>
      </c>
    </row>
    <row r="16">
      <c r="F16" s="24" t="n">
        <v>6040</v>
      </c>
      <c r="G16" s="25" t="inlineStr">
        <is>
          <t>Promotion</t>
        </is>
      </c>
      <c r="H16" s="25" t="inlineStr">
        <is>
          <t>Selling and distribution</t>
        </is>
      </c>
      <c r="I16" s="25" t="inlineStr">
        <is>
          <t>Selling</t>
        </is>
      </c>
      <c r="J16" s="25" t="inlineStr">
        <is>
          <t>Fixed</t>
        </is>
      </c>
    </row>
    <row r="17">
      <c r="F17" s="24" t="n">
        <v>6110</v>
      </c>
      <c r="G17" s="25" t="inlineStr">
        <is>
          <t>Administrative salaries</t>
        </is>
      </c>
      <c r="H17" s="25" t="inlineStr">
        <is>
          <t>Administrative salaries</t>
        </is>
      </c>
      <c r="I17" s="25" t="inlineStr">
        <is>
          <t>Administration</t>
        </is>
      </c>
      <c r="J17" s="25" t="inlineStr">
        <is>
          <t>Fixed</t>
        </is>
      </c>
    </row>
    <row r="18">
      <c r="F18" s="24" t="n">
        <v>6120</v>
      </c>
      <c r="G18" s="25" t="inlineStr">
        <is>
          <t>Rent and utilities</t>
        </is>
      </c>
      <c r="H18" s="25" t="inlineStr">
        <is>
          <t>Rent and utilities</t>
        </is>
      </c>
      <c r="I18" s="25" t="inlineStr">
        <is>
          <t>Administration</t>
        </is>
      </c>
      <c r="J18" s="25" t="inlineStr">
        <is>
          <t>Fixed</t>
        </is>
      </c>
    </row>
    <row r="19">
      <c r="F19" s="24" t="n">
        <v>6130</v>
      </c>
      <c r="G19" s="25" t="inlineStr">
        <is>
          <t>Other administration</t>
        </is>
      </c>
      <c r="H19" s="25" t="inlineStr">
        <is>
          <t>Other administration</t>
        </is>
      </c>
      <c r="I19" s="25" t="inlineStr">
        <is>
          <t>Administration</t>
        </is>
      </c>
      <c r="J19" s="25" t="inlineStr">
        <is>
          <t>Fixed</t>
        </is>
      </c>
    </row>
    <row r="20">
      <c r="F20" s="24" t="n">
        <v>6140</v>
      </c>
      <c r="G20" s="25" t="inlineStr">
        <is>
          <t>Depreciation, vehicles and office</t>
        </is>
      </c>
      <c r="H20" s="25" t="inlineStr">
        <is>
          <t>Depreciation, vehicles and office</t>
        </is>
      </c>
      <c r="I20" s="25" t="inlineStr">
        <is>
          <t>Administration</t>
        </is>
      </c>
      <c r="J20" s="25" t="inlineStr">
        <is>
          <t>Fixed</t>
        </is>
      </c>
    </row>
    <row r="21">
      <c r="F21" s="24" t="n">
        <v>6150</v>
      </c>
      <c r="G21" s="25" t="inlineStr">
        <is>
          <t>Allowance for doubtful receivables</t>
        </is>
      </c>
      <c r="H21" s="25" t="inlineStr">
        <is>
          <t>Credit loss allowance</t>
        </is>
      </c>
      <c r="I21" s="25" t="inlineStr">
        <is>
          <t>Administration</t>
        </is>
      </c>
      <c r="J21" s="25" t="inlineStr">
        <is>
          <t>Fixed</t>
        </is>
      </c>
    </row>
    <row r="22">
      <c r="F22" s="24" t="n">
        <v>7010</v>
      </c>
      <c r="G22" s="25" t="inlineStr">
        <is>
          <t>Interest, term loan</t>
        </is>
      </c>
      <c r="H22" s="25" t="inlineStr">
        <is>
          <t>Finance costs</t>
        </is>
      </c>
      <c r="I22" s="25" t="inlineStr">
        <is>
          <t>Finance</t>
        </is>
      </c>
      <c r="J22" s="25" t="inlineStr">
        <is>
          <t>Fixed</t>
        </is>
      </c>
    </row>
    <row r="23">
      <c r="F23" s="24" t="n">
        <v>7020</v>
      </c>
      <c r="G23" s="25" t="inlineStr">
        <is>
          <t>Interest, overdraft</t>
        </is>
      </c>
      <c r="H23" s="25" t="inlineStr">
        <is>
          <t>Finance costs</t>
        </is>
      </c>
      <c r="I23" s="25" t="inlineStr">
        <is>
          <t>Finance</t>
        </is>
      </c>
      <c r="J23" s="25" t="inlineStr">
        <is>
          <t>Fixed</t>
        </is>
      </c>
    </row>
    <row r="24">
      <c r="F24" s="24" t="n">
        <v>8010</v>
      </c>
      <c r="G24" s="25" t="inlineStr">
        <is>
          <t>Income tax expense</t>
        </is>
      </c>
      <c r="H24" s="25" t="inlineStr">
        <is>
          <t>Income tax</t>
        </is>
      </c>
      <c r="I24" s="25" t="inlineStr">
        <is>
          <t>Tax</t>
        </is>
      </c>
      <c r="J24" s="25" t="n"/>
    </row>
    <row r="25">
      <c r="F25" s="24" t="n"/>
      <c r="G25" s="25" t="n"/>
      <c r="H25" s="25" t="n"/>
      <c r="I25" s="25" t="n"/>
      <c r="J25" s="25" t="n"/>
    </row>
    <row r="26">
      <c r="F26" s="24" t="n"/>
      <c r="G26" s="25" t="n"/>
      <c r="H26" s="25" t="n"/>
      <c r="I26" s="25" t="n"/>
      <c r="J26" s="25" t="n"/>
    </row>
    <row r="27">
      <c r="F27" s="24" t="n"/>
      <c r="G27" s="25" t="n"/>
      <c r="H27" s="25" t="n"/>
      <c r="I27" s="25" t="n"/>
      <c r="J27" s="25" t="n"/>
    </row>
    <row r="28">
      <c r="F28" s="24" t="n"/>
      <c r="G28" s="25" t="n"/>
      <c r="H28" s="25" t="n"/>
      <c r="I28" s="25" t="n"/>
      <c r="J28" s="25" t="n"/>
    </row>
    <row r="29">
      <c r="F29" s="24" t="n"/>
      <c r="G29" s="25" t="n"/>
      <c r="H29" s="25" t="n"/>
      <c r="I29" s="25" t="n"/>
      <c r="J29" s="25" t="n"/>
    </row>
    <row r="30">
      <c r="F30" s="24" t="n"/>
      <c r="G30" s="25" t="n"/>
      <c r="H30" s="25" t="n"/>
      <c r="I30" s="25" t="n"/>
      <c r="J30" s="25" t="n"/>
    </row>
    <row r="31">
      <c r="F31" s="24" t="n"/>
      <c r="G31" s="25" t="n"/>
      <c r="H31" s="25" t="n"/>
      <c r="I31" s="25" t="n"/>
      <c r="J31" s="25" t="n"/>
    </row>
    <row r="32">
      <c r="F32" s="24" t="n"/>
      <c r="G32" s="25" t="n"/>
      <c r="H32" s="25" t="n"/>
      <c r="I32" s="25" t="n"/>
      <c r="J32" s="25" t="n"/>
    </row>
    <row r="33">
      <c r="F33" s="24" t="n"/>
      <c r="G33" s="25" t="n"/>
      <c r="H33" s="25" t="n"/>
      <c r="I33" s="25" t="n"/>
      <c r="J33" s="25" t="n"/>
    </row>
    <row r="34">
      <c r="F34" s="24" t="n"/>
      <c r="G34" s="25" t="n"/>
      <c r="H34" s="25" t="n"/>
      <c r="I34" s="25" t="n"/>
      <c r="J34" s="25" t="n"/>
    </row>
    <row r="35">
      <c r="F35" s="24" t="n"/>
      <c r="G35" s="25" t="n"/>
      <c r="H35" s="25" t="n"/>
      <c r="I35" s="25" t="n"/>
      <c r="J35" s="25" t="n"/>
    </row>
    <row r="36">
      <c r="F36" s="24" t="n"/>
      <c r="G36" s="25" t="n"/>
      <c r="H36" s="25" t="n"/>
      <c r="I36" s="25" t="n"/>
      <c r="J36" s="25" t="n"/>
    </row>
    <row r="37">
      <c r="F37" s="24" t="n"/>
      <c r="G37" s="25" t="n"/>
      <c r="H37" s="25" t="n"/>
      <c r="I37" s="25" t="n"/>
      <c r="J37" s="25" t="n"/>
    </row>
    <row r="38">
      <c r="F38" s="24" t="n"/>
      <c r="G38" s="25" t="n"/>
      <c r="H38" s="25" t="n"/>
      <c r="I38" s="25" t="n"/>
      <c r="J38" s="25" t="n"/>
    </row>
    <row r="39">
      <c r="F39" s="24" t="n"/>
      <c r="G39" s="25" t="n"/>
      <c r="H39" s="25" t="n"/>
      <c r="I39" s="25" t="n"/>
      <c r="J39" s="25" t="n"/>
    </row>
    <row r="40">
      <c r="F40" s="24" t="n"/>
      <c r="G40" s="25" t="n"/>
      <c r="H40" s="25" t="n"/>
      <c r="I40" s="25" t="n"/>
      <c r="J40" s="25" t="n"/>
    </row>
  </sheetData>
  <dataValidations count="1">
    <dataValidation sqref="J4:J40" showDropDown="0" showInputMessage="0" showErrorMessage="0" allowBlank="1" errorTitle="Invalid entry" error="Choose a value from the list." type="list">
      <formula1>"Variable,Fixed"</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tableParts count="2">
    <tablePart xmlns:r="http://schemas.openxmlformats.org/officeDocument/2006/relationships" r:id="rId1"/>
    <tablePart xmlns:r="http://schemas.openxmlformats.org/officeDocument/2006/relationships" r:id="rId2"/>
  </tableParts>
</worksheet>
</file>

<file path=xl/worksheets/sheet4.xml><?xml version="1.0" encoding="utf-8"?>
<worksheet xmlns="http://schemas.openxmlformats.org/spreadsheetml/2006/main">
  <sheetPr>
    <tabColor rgb="000F4C3A"/>
    <outlinePr summaryBelow="1" summaryRight="1"/>
    <pageSetUpPr fitToPage="1"/>
  </sheetPr>
  <dimension ref="A1:P1004"/>
  <sheetViews>
    <sheetView showGridLines="0" workbookViewId="0">
      <pane ySplit="4" topLeftCell="A5" activePane="bottomLeft" state="frozen"/>
      <selection pane="bottomLeft" activeCell="A1" sqref="A1"/>
    </sheetView>
  </sheetViews>
  <sheetFormatPr baseColWidth="8" defaultRowHeight="15"/>
  <cols>
    <col width="11" customWidth="1" min="1" max="1"/>
    <col width="14" customWidth="1" min="2" max="2"/>
    <col width="9" customWidth="1" min="3" max="3"/>
    <col width="10" customWidth="1" min="4" max="4"/>
    <col width="9" customWidth="1" min="5" max="5"/>
    <col width="28" customWidth="1" min="6" max="6"/>
    <col width="9" customWidth="1" min="7" max="7"/>
    <col width="10" customWidth="1" min="8" max="8"/>
    <col width="40" customWidth="1" min="9" max="9"/>
    <col width="12" customWidth="1" min="10" max="10"/>
    <col width="10" customWidth="1" min="11" max="11"/>
    <col width="7" customWidth="1" min="12" max="12"/>
    <col width="8" customWidth="1" min="13" max="13"/>
    <col width="13" customWidth="1" min="14" max="14"/>
    <col width="12" customWidth="1" min="15" max="15"/>
    <col width="13" customWidth="1" min="16" max="16"/>
  </cols>
  <sheetData>
    <row r="1" ht="26" customHeight="1">
      <c r="A1" s="1" t="inlineStr">
        <is>
          <t>Transactions (table tblTxn)</t>
        </is>
      </c>
      <c r="B1" s="2" t="n"/>
      <c r="C1" s="2" t="n"/>
      <c r="D1" s="2" t="n"/>
      <c r="E1" s="2" t="n"/>
      <c r="F1" s="2" t="n"/>
      <c r="G1" s="2" t="n"/>
      <c r="H1" s="2" t="n"/>
      <c r="I1" s="2" t="n"/>
      <c r="J1" s="2" t="n"/>
      <c r="K1" s="2" t="n"/>
      <c r="L1" s="2" t="n"/>
      <c r="M1" s="2" t="n"/>
      <c r="N1" s="2" t="n"/>
      <c r="O1" s="2" t="n"/>
      <c r="P1" s="2" t="n"/>
    </row>
    <row r="2">
      <c r="A2" s="23" t="inlineStr">
        <is>
          <t>One row per entry. Amounts before VAT, all positive; the statements apply the signs. Yellow columns are inputs; Period, PeriodNo, Line, VAT and Gross calculate.</t>
        </is>
      </c>
    </row>
    <row r="3"/>
    <row r="4" ht="30" customHeight="1">
      <c r="A4" s="7" t="inlineStr">
        <is>
          <t>Date</t>
        </is>
      </c>
      <c r="B4" s="7" t="inlineStr">
        <is>
          <t>Period</t>
        </is>
      </c>
      <c r="C4" s="7" t="inlineStr">
        <is>
          <t>PeriodNo</t>
        </is>
      </c>
      <c r="D4" s="7" t="inlineStr">
        <is>
          <t>Ref</t>
        </is>
      </c>
      <c r="E4" s="7" t="inlineStr">
        <is>
          <t>Account</t>
        </is>
      </c>
      <c r="F4" s="7" t="inlineStr">
        <is>
          <t>Line</t>
        </is>
      </c>
      <c r="G4" s="7" t="inlineStr">
        <is>
          <t>Type</t>
        </is>
      </c>
      <c r="H4" s="7" t="inlineStr">
        <is>
          <t>Product</t>
        </is>
      </c>
      <c r="I4" s="7" t="inlineStr">
        <is>
          <t>Counterparty</t>
        </is>
      </c>
      <c r="J4" s="7" t="inlineStr">
        <is>
          <t>Region</t>
        </is>
      </c>
      <c r="K4" s="7" t="inlineStr">
        <is>
          <t>Terms</t>
        </is>
      </c>
      <c r="L4" s="7" t="inlineStr">
        <is>
          <t>Qty</t>
        </is>
      </c>
      <c r="M4" s="7" t="inlineStr">
        <is>
          <t>Unit</t>
        </is>
      </c>
      <c r="N4" s="7" t="inlineStr">
        <is>
          <t>Amount</t>
        </is>
      </c>
      <c r="O4" s="7" t="inlineStr">
        <is>
          <t>VAT</t>
        </is>
      </c>
      <c r="P4" s="7" t="inlineStr">
        <is>
          <t>Gross</t>
        </is>
      </c>
    </row>
    <row r="5">
      <c r="A5" s="26" t="n">
        <v>46280</v>
      </c>
      <c r="B5" s="27">
        <f>IF(A5="","",IF(OR(A5&lt;MIN(Lists!$C$4:$C$15),A5&gt;MAX(Lists!$D$4:$D$15)),"No period",INDEX(Lists!$B$4:$B$15,MATCH(A5,Lists!$C$4:$C$15,1))))</f>
        <v/>
      </c>
      <c r="C5" s="28">
        <f>IF(B5="","",IFERROR(INDEX(Lists!$A$4:$A$15,MATCH(B5,Lists!$B$4:$B$15,0)),0))</f>
        <v/>
      </c>
      <c r="D5" s="25" t="inlineStr">
        <is>
          <t>INV-0301</t>
        </is>
      </c>
      <c r="E5" s="24" t="n">
        <v>4010</v>
      </c>
      <c r="F5" s="27">
        <f>IF(E5="","",IFERROR(INDEX(Lists!$H$4:$H$40,MATCH(E5,Lists!$F$4:$F$40,0)),"UNMAPPED"))</f>
        <v/>
      </c>
      <c r="G5" s="25" t="inlineStr">
        <is>
          <t>Revenue</t>
        </is>
      </c>
      <c r="H5" s="25" t="inlineStr">
        <is>
          <t>Flour</t>
        </is>
      </c>
      <c r="I5" s="25" t="inlineStr">
        <is>
          <t>Merkato Grain Traders PLC</t>
        </is>
      </c>
      <c r="J5" s="25" t="inlineStr">
        <is>
          <t>Addis Ababa</t>
        </is>
      </c>
      <c r="K5" s="25" t="inlineStr">
        <is>
          <t>Credit</t>
        </is>
      </c>
      <c r="L5" s="29" t="n">
        <v>96</v>
      </c>
      <c r="M5" s="25" t="inlineStr">
        <is>
          <t>quintal</t>
        </is>
      </c>
      <c r="N5" s="30" t="n">
        <v>900000</v>
      </c>
      <c r="O5" s="31">
        <f>IF(N5="","",IF(G5="Revenue",ROUND(N5*VATRate,2),0))</f>
        <v/>
      </c>
      <c r="P5" s="31">
        <f>IF(N5="","",N5+O5)</f>
        <v/>
      </c>
    </row>
    <row r="6">
      <c r="A6" s="26" t="n">
        <v>46294</v>
      </c>
      <c r="B6" s="27">
        <f>IF(A6="","",IF(OR(A6&lt;MIN(Lists!$C$4:$C$15),A6&gt;MAX(Lists!$D$4:$D$15)),"No period",INDEX(Lists!$B$4:$B$15,MATCH(A6,Lists!$C$4:$C$15,1))))</f>
        <v/>
      </c>
      <c r="C6" s="28">
        <f>IF(B6="","",IFERROR(INDEX(Lists!$A$4:$A$15,MATCH(B6,Lists!$B$4:$B$15,0)),0))</f>
        <v/>
      </c>
      <c r="D6" s="25" t="inlineStr">
        <is>
          <t>INV-0318</t>
        </is>
      </c>
      <c r="E6" s="24" t="n">
        <v>4010</v>
      </c>
      <c r="F6" s="27">
        <f>IF(E6="","",IFERROR(INDEX(Lists!$H$4:$H$40,MATCH(E6,Lists!$F$4:$F$40,0)),"UNMAPPED"))</f>
        <v/>
      </c>
      <c r="G6" s="25" t="inlineStr">
        <is>
          <t>Revenue</t>
        </is>
      </c>
      <c r="H6" s="25" t="inlineStr">
        <is>
          <t>Flour</t>
        </is>
      </c>
      <c r="I6" s="25" t="inlineStr">
        <is>
          <t>Merkato Grain Traders PLC</t>
        </is>
      </c>
      <c r="J6" s="25" t="inlineStr">
        <is>
          <t>Addis Ababa</t>
        </is>
      </c>
      <c r="K6" s="25" t="inlineStr">
        <is>
          <t>Credit</t>
        </is>
      </c>
      <c r="L6" s="29" t="n">
        <v>96</v>
      </c>
      <c r="M6" s="25" t="inlineStr">
        <is>
          <t>quintal</t>
        </is>
      </c>
      <c r="N6" s="30" t="n">
        <v>900000</v>
      </c>
      <c r="O6" s="31">
        <f>IF(N6="","",IF(G6="Revenue",ROUND(N6*VATRate,2),0))</f>
        <v/>
      </c>
      <c r="P6" s="31">
        <f>IF(N6="","",N6+O6)</f>
        <v/>
      </c>
    </row>
    <row r="7">
      <c r="A7" s="26" t="n">
        <v>46280</v>
      </c>
      <c r="B7" s="27">
        <f>IF(A7="","",IF(OR(A7&lt;MIN(Lists!$C$4:$C$15),A7&gt;MAX(Lists!$D$4:$D$15)),"No period",INDEX(Lists!$B$4:$B$15,MATCH(A7,Lists!$C$4:$C$15,1))))</f>
        <v/>
      </c>
      <c r="C7" s="28">
        <f>IF(B7="","",IFERROR(INDEX(Lists!$A$4:$A$15,MATCH(B7,Lists!$B$4:$B$15,0)),0))</f>
        <v/>
      </c>
      <c r="D7" s="25" t="inlineStr">
        <is>
          <t>INV-0302</t>
        </is>
      </c>
      <c r="E7" s="24" t="n">
        <v>4020</v>
      </c>
      <c r="F7" s="27">
        <f>IF(E7="","",IFERROR(INDEX(Lists!$H$4:$H$40,MATCH(E7,Lists!$F$4:$F$40,0)),"UNMAPPED"))</f>
        <v/>
      </c>
      <c r="G7" s="25" t="inlineStr">
        <is>
          <t>Revenue</t>
        </is>
      </c>
      <c r="H7" s="25" t="inlineStr">
        <is>
          <t>Pasta</t>
        </is>
      </c>
      <c r="I7" s="25" t="inlineStr">
        <is>
          <t>Merkato Grain Traders PLC</t>
        </is>
      </c>
      <c r="J7" s="25" t="inlineStr">
        <is>
          <t>Addis Ababa</t>
        </is>
      </c>
      <c r="K7" s="25" t="inlineStr">
        <is>
          <t>Credit</t>
        </is>
      </c>
      <c r="L7" s="29" t="n">
        <v>300</v>
      </c>
      <c r="M7" s="25" t="inlineStr">
        <is>
          <t>carton</t>
        </is>
      </c>
      <c r="N7" s="30" t="n">
        <v>480000</v>
      </c>
      <c r="O7" s="31">
        <f>IF(N7="","",IF(G7="Revenue",ROUND(N7*VATRate,2),0))</f>
        <v/>
      </c>
      <c r="P7" s="31">
        <f>IF(N7="","",N7+O7)</f>
        <v/>
      </c>
    </row>
    <row r="8">
      <c r="A8" s="26" t="n">
        <v>46294</v>
      </c>
      <c r="B8" s="27">
        <f>IF(A8="","",IF(OR(A8&lt;MIN(Lists!$C$4:$C$15),A8&gt;MAX(Lists!$D$4:$D$15)),"No period",INDEX(Lists!$B$4:$B$15,MATCH(A8,Lists!$C$4:$C$15,1))))</f>
        <v/>
      </c>
      <c r="C8" s="28">
        <f>IF(B8="","",IFERROR(INDEX(Lists!$A$4:$A$15,MATCH(B8,Lists!$B$4:$B$15,0)),0))</f>
        <v/>
      </c>
      <c r="D8" s="25" t="inlineStr">
        <is>
          <t>INV-0319</t>
        </is>
      </c>
      <c r="E8" s="24" t="n">
        <v>4020</v>
      </c>
      <c r="F8" s="27">
        <f>IF(E8="","",IFERROR(INDEX(Lists!$H$4:$H$40,MATCH(E8,Lists!$F$4:$F$40,0)),"UNMAPPED"))</f>
        <v/>
      </c>
      <c r="G8" s="25" t="inlineStr">
        <is>
          <t>Revenue</t>
        </is>
      </c>
      <c r="H8" s="25" t="inlineStr">
        <is>
          <t>Pasta</t>
        </is>
      </c>
      <c r="I8" s="25" t="inlineStr">
        <is>
          <t>Merkato Grain Traders PLC</t>
        </is>
      </c>
      <c r="J8" s="25" t="inlineStr">
        <is>
          <t>Addis Ababa</t>
        </is>
      </c>
      <c r="K8" s="25" t="inlineStr">
        <is>
          <t>Credit</t>
        </is>
      </c>
      <c r="L8" s="29" t="n">
        <v>325</v>
      </c>
      <c r="M8" s="25" t="inlineStr">
        <is>
          <t>carton</t>
        </is>
      </c>
      <c r="N8" s="30" t="n">
        <v>520000</v>
      </c>
      <c r="O8" s="31">
        <f>IF(N8="","",IF(G8="Revenue",ROUND(N8*VATRate,2),0))</f>
        <v/>
      </c>
      <c r="P8" s="31">
        <f>IF(N8="","",N8+O8)</f>
        <v/>
      </c>
    </row>
    <row r="9">
      <c r="A9" s="26" t="n">
        <v>46279</v>
      </c>
      <c r="B9" s="27">
        <f>IF(A9="","",IF(OR(A9&lt;MIN(Lists!$C$4:$C$15),A9&gt;MAX(Lists!$D$4:$D$15)),"No period",INDEX(Lists!$B$4:$B$15,MATCH(A9,Lists!$C$4:$C$15,1))))</f>
        <v/>
      </c>
      <c r="C9" s="28">
        <f>IF(B9="","",IFERROR(INDEX(Lists!$A$4:$A$15,MATCH(B9,Lists!$B$4:$B$15,0)),0))</f>
        <v/>
      </c>
      <c r="D9" s="25" t="inlineStr">
        <is>
          <t>INV-0299</t>
        </is>
      </c>
      <c r="E9" s="24" t="n">
        <v>4010</v>
      </c>
      <c r="F9" s="27">
        <f>IF(E9="","",IFERROR(INDEX(Lists!$H$4:$H$40,MATCH(E9,Lists!$F$4:$F$40,0)),"UNMAPPED"))</f>
        <v/>
      </c>
      <c r="G9" s="25" t="inlineStr">
        <is>
          <t>Revenue</t>
        </is>
      </c>
      <c r="H9" s="25" t="inlineStr">
        <is>
          <t>Flour</t>
        </is>
      </c>
      <c r="I9" s="25" t="inlineStr">
        <is>
          <t>Dessie Star Distributors</t>
        </is>
      </c>
      <c r="J9" s="25" t="inlineStr">
        <is>
          <t>Dessie</t>
        </is>
      </c>
      <c r="K9" s="25" t="inlineStr">
        <is>
          <t>Credit</t>
        </is>
      </c>
      <c r="L9" s="29" t="n">
        <v>80</v>
      </c>
      <c r="M9" s="25" t="inlineStr">
        <is>
          <t>quintal</t>
        </is>
      </c>
      <c r="N9" s="30" t="n">
        <v>750000</v>
      </c>
      <c r="O9" s="31">
        <f>IF(N9="","",IF(G9="Revenue",ROUND(N9*VATRate,2),0))</f>
        <v/>
      </c>
      <c r="P9" s="31">
        <f>IF(N9="","",N9+O9)</f>
        <v/>
      </c>
    </row>
    <row r="10">
      <c r="A10" s="26" t="n">
        <v>46297</v>
      </c>
      <c r="B10" s="27">
        <f>IF(A10="","",IF(OR(A10&lt;MIN(Lists!$C$4:$C$15),A10&gt;MAX(Lists!$D$4:$D$15)),"No period",INDEX(Lists!$B$4:$B$15,MATCH(A10,Lists!$C$4:$C$15,1))))</f>
        <v/>
      </c>
      <c r="C10" s="28">
        <f>IF(B10="","",IFERROR(INDEX(Lists!$A$4:$A$15,MATCH(B10,Lists!$B$4:$B$15,0)),0))</f>
        <v/>
      </c>
      <c r="D10" s="25" t="inlineStr">
        <is>
          <t>INV-0324</t>
        </is>
      </c>
      <c r="E10" s="24" t="n">
        <v>4010</v>
      </c>
      <c r="F10" s="27">
        <f>IF(E10="","",IFERROR(INDEX(Lists!$H$4:$H$40,MATCH(E10,Lists!$F$4:$F$40,0)),"UNMAPPED"))</f>
        <v/>
      </c>
      <c r="G10" s="25" t="inlineStr">
        <is>
          <t>Revenue</t>
        </is>
      </c>
      <c r="H10" s="25" t="inlineStr">
        <is>
          <t>Flour</t>
        </is>
      </c>
      <c r="I10" s="25" t="inlineStr">
        <is>
          <t>Dessie Star Distributors</t>
        </is>
      </c>
      <c r="J10" s="25" t="inlineStr">
        <is>
          <t>Dessie</t>
        </is>
      </c>
      <c r="K10" s="25" t="inlineStr">
        <is>
          <t>Credit</t>
        </is>
      </c>
      <c r="L10" s="29" t="n">
        <v>80</v>
      </c>
      <c r="M10" s="25" t="inlineStr">
        <is>
          <t>quintal</t>
        </is>
      </c>
      <c r="N10" s="30" t="n">
        <v>750000</v>
      </c>
      <c r="O10" s="31">
        <f>IF(N10="","",IF(G10="Revenue",ROUND(N10*VATRate,2),0))</f>
        <v/>
      </c>
      <c r="P10" s="31">
        <f>IF(N10="","",N10+O10)</f>
        <v/>
      </c>
    </row>
    <row r="11">
      <c r="A11" s="26" t="n">
        <v>46279</v>
      </c>
      <c r="B11" s="27">
        <f>IF(A11="","",IF(OR(A11&lt;MIN(Lists!$C$4:$C$15),A11&gt;MAX(Lists!$D$4:$D$15)),"No period",INDEX(Lists!$B$4:$B$15,MATCH(A11,Lists!$C$4:$C$15,1))))</f>
        <v/>
      </c>
      <c r="C11" s="28">
        <f>IF(B11="","",IFERROR(INDEX(Lists!$A$4:$A$15,MATCH(B11,Lists!$B$4:$B$15,0)),0))</f>
        <v/>
      </c>
      <c r="D11" s="25" t="inlineStr">
        <is>
          <t>INV-0300</t>
        </is>
      </c>
      <c r="E11" s="24" t="n">
        <v>4020</v>
      </c>
      <c r="F11" s="27">
        <f>IF(E11="","",IFERROR(INDEX(Lists!$H$4:$H$40,MATCH(E11,Lists!$F$4:$F$40,0)),"UNMAPPED"))</f>
        <v/>
      </c>
      <c r="G11" s="25" t="inlineStr">
        <is>
          <t>Revenue</t>
        </is>
      </c>
      <c r="H11" s="25" t="inlineStr">
        <is>
          <t>Pasta</t>
        </is>
      </c>
      <c r="I11" s="25" t="inlineStr">
        <is>
          <t>Dessie Star Distributors</t>
        </is>
      </c>
      <c r="J11" s="25" t="inlineStr">
        <is>
          <t>Dessie</t>
        </is>
      </c>
      <c r="K11" s="25" t="inlineStr">
        <is>
          <t>Credit</t>
        </is>
      </c>
      <c r="L11" s="29" t="n">
        <v>250</v>
      </c>
      <c r="M11" s="25" t="inlineStr">
        <is>
          <t>carton</t>
        </is>
      </c>
      <c r="N11" s="30" t="n">
        <v>400000</v>
      </c>
      <c r="O11" s="31">
        <f>IF(N11="","",IF(G11="Revenue",ROUND(N11*VATRate,2),0))</f>
        <v/>
      </c>
      <c r="P11" s="31">
        <f>IF(N11="","",N11+O11)</f>
        <v/>
      </c>
    </row>
    <row r="12">
      <c r="A12" s="26" t="n">
        <v>46297</v>
      </c>
      <c r="B12" s="27">
        <f>IF(A12="","",IF(OR(A12&lt;MIN(Lists!$C$4:$C$15),A12&gt;MAX(Lists!$D$4:$D$15)),"No period",INDEX(Lists!$B$4:$B$15,MATCH(A12,Lists!$C$4:$C$15,1))))</f>
        <v/>
      </c>
      <c r="C12" s="28">
        <f>IF(B12="","",IFERROR(INDEX(Lists!$A$4:$A$15,MATCH(B12,Lists!$B$4:$B$15,0)),0))</f>
        <v/>
      </c>
      <c r="D12" s="25" t="inlineStr">
        <is>
          <t>INV-0325</t>
        </is>
      </c>
      <c r="E12" s="24" t="n">
        <v>4020</v>
      </c>
      <c r="F12" s="27">
        <f>IF(E12="","",IFERROR(INDEX(Lists!$H$4:$H$40,MATCH(E12,Lists!$F$4:$F$40,0)),"UNMAPPED"))</f>
        <v/>
      </c>
      <c r="G12" s="25" t="inlineStr">
        <is>
          <t>Revenue</t>
        </is>
      </c>
      <c r="H12" s="25" t="inlineStr">
        <is>
          <t>Pasta</t>
        </is>
      </c>
      <c r="I12" s="25" t="inlineStr">
        <is>
          <t>Dessie Star Distributors</t>
        </is>
      </c>
      <c r="J12" s="25" t="inlineStr">
        <is>
          <t>Dessie</t>
        </is>
      </c>
      <c r="K12" s="25" t="inlineStr">
        <is>
          <t>Credit</t>
        </is>
      </c>
      <c r="L12" s="29" t="n">
        <v>250</v>
      </c>
      <c r="M12" s="25" t="inlineStr">
        <is>
          <t>carton</t>
        </is>
      </c>
      <c r="N12" s="30" t="n">
        <v>400000</v>
      </c>
      <c r="O12" s="31">
        <f>IF(N12="","",IF(G12="Revenue",ROUND(N12*VATRate,2),0))</f>
        <v/>
      </c>
      <c r="P12" s="31">
        <f>IF(N12="","",N12+O12)</f>
        <v/>
      </c>
    </row>
    <row r="13">
      <c r="A13" s="26" t="n">
        <v>46287</v>
      </c>
      <c r="B13" s="27">
        <f>IF(A13="","",IF(OR(A13&lt;MIN(Lists!$C$4:$C$15),A13&gt;MAX(Lists!$D$4:$D$15)),"No period",INDEX(Lists!$B$4:$B$15,MATCH(A13,Lists!$C$4:$C$15,1))))</f>
        <v/>
      </c>
      <c r="C13" s="28">
        <f>IF(B13="","",IFERROR(INDEX(Lists!$A$4:$A$15,MATCH(B13,Lists!$B$4:$B$15,0)),0))</f>
        <v/>
      </c>
      <c r="D13" s="25" t="inlineStr">
        <is>
          <t>INV-0310</t>
        </is>
      </c>
      <c r="E13" s="24" t="n">
        <v>4010</v>
      </c>
      <c r="F13" s="27">
        <f>IF(E13="","",IFERROR(INDEX(Lists!$H$4:$H$40,MATCH(E13,Lists!$F$4:$F$40,0)),"UNMAPPED"))</f>
        <v/>
      </c>
      <c r="G13" s="25" t="inlineStr">
        <is>
          <t>Revenue</t>
        </is>
      </c>
      <c r="H13" s="25" t="inlineStr">
        <is>
          <t>Flour</t>
        </is>
      </c>
      <c r="I13" s="25" t="inlineStr">
        <is>
          <t>Woldia Family Supermarket</t>
        </is>
      </c>
      <c r="J13" s="25" t="inlineStr">
        <is>
          <t>Woldia</t>
        </is>
      </c>
      <c r="K13" s="25" t="inlineStr">
        <is>
          <t>Credit</t>
        </is>
      </c>
      <c r="L13" s="29" t="n">
        <v>64</v>
      </c>
      <c r="M13" s="25" t="inlineStr">
        <is>
          <t>quintal</t>
        </is>
      </c>
      <c r="N13" s="30" t="n">
        <v>600000</v>
      </c>
      <c r="O13" s="31">
        <f>IF(N13="","",IF(G13="Revenue",ROUND(N13*VATRate,2),0))</f>
        <v/>
      </c>
      <c r="P13" s="31">
        <f>IF(N13="","",N13+O13)</f>
        <v/>
      </c>
    </row>
    <row r="14">
      <c r="A14" s="26" t="n">
        <v>46287</v>
      </c>
      <c r="B14" s="27">
        <f>IF(A14="","",IF(OR(A14&lt;MIN(Lists!$C$4:$C$15),A14&gt;MAX(Lists!$D$4:$D$15)),"No period",INDEX(Lists!$B$4:$B$15,MATCH(A14,Lists!$C$4:$C$15,1))))</f>
        <v/>
      </c>
      <c r="C14" s="28">
        <f>IF(B14="","",IFERROR(INDEX(Lists!$A$4:$A$15,MATCH(B14,Lists!$B$4:$B$15,0)),0))</f>
        <v/>
      </c>
      <c r="D14" s="25" t="inlineStr">
        <is>
          <t>INV-0311</t>
        </is>
      </c>
      <c r="E14" s="24" t="n">
        <v>4020</v>
      </c>
      <c r="F14" s="27">
        <f>IF(E14="","",IFERROR(INDEX(Lists!$H$4:$H$40,MATCH(E14,Lists!$F$4:$F$40,0)),"UNMAPPED"))</f>
        <v/>
      </c>
      <c r="G14" s="25" t="inlineStr">
        <is>
          <t>Revenue</t>
        </is>
      </c>
      <c r="H14" s="25" t="inlineStr">
        <is>
          <t>Pasta</t>
        </is>
      </c>
      <c r="I14" s="25" t="inlineStr">
        <is>
          <t>Woldia Family Supermarket</t>
        </is>
      </c>
      <c r="J14" s="25" t="inlineStr">
        <is>
          <t>Woldia</t>
        </is>
      </c>
      <c r="K14" s="25" t="inlineStr">
        <is>
          <t>Credit</t>
        </is>
      </c>
      <c r="L14" s="29" t="n">
        <v>300</v>
      </c>
      <c r="M14" s="25" t="inlineStr">
        <is>
          <t>carton</t>
        </is>
      </c>
      <c r="N14" s="30" t="n">
        <v>480000</v>
      </c>
      <c r="O14" s="31">
        <f>IF(N14="","",IF(G14="Revenue",ROUND(N14*VATRate,2),0))</f>
        <v/>
      </c>
      <c r="P14" s="31">
        <f>IF(N14="","",N14+O14)</f>
        <v/>
      </c>
    </row>
    <row r="15">
      <c r="A15" s="26" t="n">
        <v>46283</v>
      </c>
      <c r="B15" s="27">
        <f>IF(A15="","",IF(OR(A15&lt;MIN(Lists!$C$4:$C$15),A15&gt;MAX(Lists!$D$4:$D$15)),"No period",INDEX(Lists!$B$4:$B$15,MATCH(A15,Lists!$C$4:$C$15,1))))</f>
        <v/>
      </c>
      <c r="C15" s="28">
        <f>IF(B15="","",IFERROR(INDEX(Lists!$A$4:$A$15,MATCH(B15,Lists!$B$4:$B$15,0)),0))</f>
        <v/>
      </c>
      <c r="D15" s="25" t="inlineStr">
        <is>
          <t>INV-0306</t>
        </is>
      </c>
      <c r="E15" s="24" t="n">
        <v>4010</v>
      </c>
      <c r="F15" s="27">
        <f>IF(E15="","",IFERROR(INDEX(Lists!$H$4:$H$40,MATCH(E15,Lists!$F$4:$F$40,0)),"UNMAPPED"))</f>
        <v/>
      </c>
      <c r="G15" s="25" t="inlineStr">
        <is>
          <t>Revenue</t>
        </is>
      </c>
      <c r="H15" s="25" t="inlineStr">
        <is>
          <t>Flour</t>
        </is>
      </c>
      <c r="I15" s="25" t="inlineStr">
        <is>
          <t>Bati Road Wholesalers</t>
        </is>
      </c>
      <c r="J15" s="25" t="inlineStr">
        <is>
          <t>Kombolcha</t>
        </is>
      </c>
      <c r="K15" s="25" t="inlineStr">
        <is>
          <t>Credit</t>
        </is>
      </c>
      <c r="L15" s="29" t="n">
        <v>64</v>
      </c>
      <c r="M15" s="25" t="inlineStr">
        <is>
          <t>quintal</t>
        </is>
      </c>
      <c r="N15" s="30" t="n">
        <v>600000</v>
      </c>
      <c r="O15" s="31">
        <f>IF(N15="","",IF(G15="Revenue",ROUND(N15*VATRate,2),0))</f>
        <v/>
      </c>
      <c r="P15" s="31">
        <f>IF(N15="","",N15+O15)</f>
        <v/>
      </c>
    </row>
    <row r="16">
      <c r="A16" s="26" t="n">
        <v>46283</v>
      </c>
      <c r="B16" s="27">
        <f>IF(A16="","",IF(OR(A16&lt;MIN(Lists!$C$4:$C$15),A16&gt;MAX(Lists!$D$4:$D$15)),"No period",INDEX(Lists!$B$4:$B$15,MATCH(A16,Lists!$C$4:$C$15,1))))</f>
        <v/>
      </c>
      <c r="C16" s="28">
        <f>IF(B16="","",IFERROR(INDEX(Lists!$A$4:$A$15,MATCH(B16,Lists!$B$4:$B$15,0)),0))</f>
        <v/>
      </c>
      <c r="D16" s="25" t="inlineStr">
        <is>
          <t>INV-0307</t>
        </is>
      </c>
      <c r="E16" s="24" t="n">
        <v>4020</v>
      </c>
      <c r="F16" s="27">
        <f>IF(E16="","",IFERROR(INDEX(Lists!$H$4:$H$40,MATCH(E16,Lists!$F$4:$F$40,0)),"UNMAPPED"))</f>
        <v/>
      </c>
      <c r="G16" s="25" t="inlineStr">
        <is>
          <t>Revenue</t>
        </is>
      </c>
      <c r="H16" s="25" t="inlineStr">
        <is>
          <t>Pasta</t>
        </is>
      </c>
      <c r="I16" s="25" t="inlineStr">
        <is>
          <t>Bati Road Wholesalers</t>
        </is>
      </c>
      <c r="J16" s="25" t="inlineStr">
        <is>
          <t>Kombolcha</t>
        </is>
      </c>
      <c r="K16" s="25" t="inlineStr">
        <is>
          <t>Credit</t>
        </is>
      </c>
      <c r="L16" s="29" t="n">
        <v>250</v>
      </c>
      <c r="M16" s="25" t="inlineStr">
        <is>
          <t>carton</t>
        </is>
      </c>
      <c r="N16" s="30" t="n">
        <v>400000</v>
      </c>
      <c r="O16" s="31">
        <f>IF(N16="","",IF(G16="Revenue",ROUND(N16*VATRate,2),0))</f>
        <v/>
      </c>
      <c r="P16" s="31">
        <f>IF(N16="","",N16+O16)</f>
        <v/>
      </c>
    </row>
    <row r="17">
      <c r="A17" s="26" t="n">
        <v>46290</v>
      </c>
      <c r="B17" s="27">
        <f>IF(A17="","",IF(OR(A17&lt;MIN(Lists!$C$4:$C$15),A17&gt;MAX(Lists!$D$4:$D$15)),"No period",INDEX(Lists!$B$4:$B$15,MATCH(A17,Lists!$C$4:$C$15,1))))</f>
        <v/>
      </c>
      <c r="C17" s="28">
        <f>IF(B17="","",IFERROR(INDEX(Lists!$A$4:$A$15,MATCH(B17,Lists!$B$4:$B$15,0)),0))</f>
        <v/>
      </c>
      <c r="D17" s="25" t="inlineStr">
        <is>
          <t>INV-0314</t>
        </is>
      </c>
      <c r="E17" s="24" t="n">
        <v>4030</v>
      </c>
      <c r="F17" s="27">
        <f>IF(E17="","",IFERROR(INDEX(Lists!$H$4:$H$40,MATCH(E17,Lists!$F$4:$F$40,0)),"UNMAPPED"))</f>
        <v/>
      </c>
      <c r="G17" s="25" t="inlineStr">
        <is>
          <t>Revenue</t>
        </is>
      </c>
      <c r="H17" s="25" t="inlineStr">
        <is>
          <t>Bran</t>
        </is>
      </c>
      <c r="I17" s="25" t="inlineStr">
        <is>
          <t>Borkena Dairy Farmers Cooperative</t>
        </is>
      </c>
      <c r="J17" s="25" t="inlineStr">
        <is>
          <t>Kombolcha</t>
        </is>
      </c>
      <c r="K17" s="25" t="inlineStr">
        <is>
          <t>Credit</t>
        </is>
      </c>
      <c r="L17" s="29" t="n"/>
      <c r="M17" s="25" t="n"/>
      <c r="N17" s="30" t="n">
        <v>200000</v>
      </c>
      <c r="O17" s="31">
        <f>IF(N17="","",IF(G17="Revenue",ROUND(N17*VATRate,2),0))</f>
        <v/>
      </c>
      <c r="P17" s="31">
        <f>IF(N17="","",N17+O17)</f>
        <v/>
      </c>
    </row>
    <row r="18">
      <c r="A18" s="26" t="n">
        <v>46290</v>
      </c>
      <c r="B18" s="27">
        <f>IF(A18="","",IF(OR(A18&lt;MIN(Lists!$C$4:$C$15),A18&gt;MAX(Lists!$D$4:$D$15)),"No period",INDEX(Lists!$B$4:$B$15,MATCH(A18,Lists!$C$4:$C$15,1))))</f>
        <v/>
      </c>
      <c r="C18" s="28">
        <f>IF(B18="","",IFERROR(INDEX(Lists!$A$4:$A$15,MATCH(B18,Lists!$B$4:$B$15,0)),0))</f>
        <v/>
      </c>
      <c r="D18" s="25" t="inlineStr">
        <is>
          <t>CS-0301</t>
        </is>
      </c>
      <c r="E18" s="24" t="n">
        <v>4010</v>
      </c>
      <c r="F18" s="27">
        <f>IF(E18="","",IFERROR(INDEX(Lists!$H$4:$H$40,MATCH(E18,Lists!$F$4:$F$40,0)),"UNMAPPED"))</f>
        <v/>
      </c>
      <c r="G18" s="25" t="inlineStr">
        <is>
          <t>Revenue</t>
        </is>
      </c>
      <c r="H18" s="25" t="inlineStr">
        <is>
          <t>Flour</t>
        </is>
      </c>
      <c r="I18" s="25" t="inlineStr">
        <is>
          <t>Factory shop</t>
        </is>
      </c>
      <c r="J18" s="25" t="inlineStr">
        <is>
          <t>Kombolcha</t>
        </is>
      </c>
      <c r="K18" s="25" t="inlineStr">
        <is>
          <t>Cash</t>
        </is>
      </c>
      <c r="L18" s="29" t="n">
        <v>16</v>
      </c>
      <c r="M18" s="25" t="inlineStr">
        <is>
          <t>quintal</t>
        </is>
      </c>
      <c r="N18" s="30" t="n">
        <v>150000</v>
      </c>
      <c r="O18" s="31">
        <f>IF(N18="","",IF(G18="Revenue",ROUND(N18*VATRate,2),0))</f>
        <v/>
      </c>
      <c r="P18" s="31">
        <f>IF(N18="","",N18+O18)</f>
        <v/>
      </c>
    </row>
    <row r="19">
      <c r="A19" s="26" t="n">
        <v>46305</v>
      </c>
      <c r="B19" s="27">
        <f>IF(A19="","",IF(OR(A19&lt;MIN(Lists!$C$4:$C$15),A19&gt;MAX(Lists!$D$4:$D$15)),"No period",INDEX(Lists!$B$4:$B$15,MATCH(A19,Lists!$C$4:$C$15,1))))</f>
        <v/>
      </c>
      <c r="C19" s="28">
        <f>IF(B19="","",IFERROR(INDEX(Lists!$A$4:$A$15,MATCH(B19,Lists!$B$4:$B$15,0)),0))</f>
        <v/>
      </c>
      <c r="D19" s="25" t="inlineStr">
        <is>
          <t>CS-0302</t>
        </is>
      </c>
      <c r="E19" s="24" t="n">
        <v>4010</v>
      </c>
      <c r="F19" s="27">
        <f>IF(E19="","",IFERROR(INDEX(Lists!$H$4:$H$40,MATCH(E19,Lists!$F$4:$F$40,0)),"UNMAPPED"))</f>
        <v/>
      </c>
      <c r="G19" s="25" t="inlineStr">
        <is>
          <t>Revenue</t>
        </is>
      </c>
      <c r="H19" s="25" t="inlineStr">
        <is>
          <t>Flour</t>
        </is>
      </c>
      <c r="I19" s="25" t="inlineStr">
        <is>
          <t>Factory shop</t>
        </is>
      </c>
      <c r="J19" s="25" t="inlineStr">
        <is>
          <t>Kombolcha</t>
        </is>
      </c>
      <c r="K19" s="25" t="inlineStr">
        <is>
          <t>Cash</t>
        </is>
      </c>
      <c r="L19" s="29" t="n">
        <v>16</v>
      </c>
      <c r="M19" s="25" t="inlineStr">
        <is>
          <t>quintal</t>
        </is>
      </c>
      <c r="N19" s="30" t="n">
        <v>150000</v>
      </c>
      <c r="O19" s="31">
        <f>IF(N19="","",IF(G19="Revenue",ROUND(N19*VATRate,2),0))</f>
        <v/>
      </c>
      <c r="P19" s="31">
        <f>IF(N19="","",N19+O19)</f>
        <v/>
      </c>
    </row>
    <row r="20">
      <c r="A20" s="26" t="n">
        <v>46290</v>
      </c>
      <c r="B20" s="27">
        <f>IF(A20="","",IF(OR(A20&lt;MIN(Lists!$C$4:$C$15),A20&gt;MAX(Lists!$D$4:$D$15)),"No period",INDEX(Lists!$B$4:$B$15,MATCH(A20,Lists!$C$4:$C$15,1))))</f>
        <v/>
      </c>
      <c r="C20" s="28">
        <f>IF(B20="","",IFERROR(INDEX(Lists!$A$4:$A$15,MATCH(B20,Lists!$B$4:$B$15,0)),0))</f>
        <v/>
      </c>
      <c r="D20" s="25" t="inlineStr">
        <is>
          <t>CS-0301</t>
        </is>
      </c>
      <c r="E20" s="24" t="n">
        <v>4020</v>
      </c>
      <c r="F20" s="27">
        <f>IF(E20="","",IFERROR(INDEX(Lists!$H$4:$H$40,MATCH(E20,Lists!$F$4:$F$40,0)),"UNMAPPED"))</f>
        <v/>
      </c>
      <c r="G20" s="25" t="inlineStr">
        <is>
          <t>Revenue</t>
        </is>
      </c>
      <c r="H20" s="25" t="inlineStr">
        <is>
          <t>Pasta</t>
        </is>
      </c>
      <c r="I20" s="25" t="inlineStr">
        <is>
          <t>Factory shop</t>
        </is>
      </c>
      <c r="J20" s="25" t="inlineStr">
        <is>
          <t>Kombolcha</t>
        </is>
      </c>
      <c r="K20" s="25" t="inlineStr">
        <is>
          <t>Cash</t>
        </is>
      </c>
      <c r="L20" s="29" t="n">
        <v>100</v>
      </c>
      <c r="M20" s="25" t="inlineStr">
        <is>
          <t>carton</t>
        </is>
      </c>
      <c r="N20" s="30" t="n">
        <v>160000</v>
      </c>
      <c r="O20" s="31">
        <f>IF(N20="","",IF(G20="Revenue",ROUND(N20*VATRate,2),0))</f>
        <v/>
      </c>
      <c r="P20" s="31">
        <f>IF(N20="","",N20+O20)</f>
        <v/>
      </c>
    </row>
    <row r="21">
      <c r="A21" s="26" t="n">
        <v>46305</v>
      </c>
      <c r="B21" s="27">
        <f>IF(A21="","",IF(OR(A21&lt;MIN(Lists!$C$4:$C$15),A21&gt;MAX(Lists!$D$4:$D$15)),"No period",INDEX(Lists!$B$4:$B$15,MATCH(A21,Lists!$C$4:$C$15,1))))</f>
        <v/>
      </c>
      <c r="C21" s="28">
        <f>IF(B21="","",IFERROR(INDEX(Lists!$A$4:$A$15,MATCH(B21,Lists!$B$4:$B$15,0)),0))</f>
        <v/>
      </c>
      <c r="D21" s="25" t="inlineStr">
        <is>
          <t>CS-0302</t>
        </is>
      </c>
      <c r="E21" s="24" t="n">
        <v>4020</v>
      </c>
      <c r="F21" s="27">
        <f>IF(E21="","",IFERROR(INDEX(Lists!$H$4:$H$40,MATCH(E21,Lists!$F$4:$F$40,0)),"UNMAPPED"))</f>
        <v/>
      </c>
      <c r="G21" s="25" t="inlineStr">
        <is>
          <t>Revenue</t>
        </is>
      </c>
      <c r="H21" s="25" t="inlineStr">
        <is>
          <t>Pasta</t>
        </is>
      </c>
      <c r="I21" s="25" t="inlineStr">
        <is>
          <t>Factory shop</t>
        </is>
      </c>
      <c r="J21" s="25" t="inlineStr">
        <is>
          <t>Kombolcha</t>
        </is>
      </c>
      <c r="K21" s="25" t="inlineStr">
        <is>
          <t>Cash</t>
        </is>
      </c>
      <c r="L21" s="29" t="n">
        <v>100</v>
      </c>
      <c r="M21" s="25" t="inlineStr">
        <is>
          <t>carton</t>
        </is>
      </c>
      <c r="N21" s="30" t="n">
        <v>160000</v>
      </c>
      <c r="O21" s="31">
        <f>IF(N21="","",IF(G21="Revenue",ROUND(N21*VATRate,2),0))</f>
        <v/>
      </c>
      <c r="P21" s="31">
        <f>IF(N21="","",N21+O21)</f>
        <v/>
      </c>
    </row>
    <row r="22">
      <c r="A22" s="26" t="n">
        <v>46290</v>
      </c>
      <c r="B22" s="27">
        <f>IF(A22="","",IF(OR(A22&lt;MIN(Lists!$C$4:$C$15),A22&gt;MAX(Lists!$D$4:$D$15)),"No period",INDEX(Lists!$B$4:$B$15,MATCH(A22,Lists!$C$4:$C$15,1))))</f>
        <v/>
      </c>
      <c r="C22" s="28">
        <f>IF(B22="","",IFERROR(INDEX(Lists!$A$4:$A$15,MATCH(B22,Lists!$B$4:$B$15,0)),0))</f>
        <v/>
      </c>
      <c r="D22" s="25" t="inlineStr">
        <is>
          <t>CS-0301</t>
        </is>
      </c>
      <c r="E22" s="24" t="n">
        <v>4030</v>
      </c>
      <c r="F22" s="27">
        <f>IF(E22="","",IFERROR(INDEX(Lists!$H$4:$H$40,MATCH(E22,Lists!$F$4:$F$40,0)),"UNMAPPED"))</f>
        <v/>
      </c>
      <c r="G22" s="25" t="inlineStr">
        <is>
          <t>Revenue</t>
        </is>
      </c>
      <c r="H22" s="25" t="inlineStr">
        <is>
          <t>Bran</t>
        </is>
      </c>
      <c r="I22" s="25" t="inlineStr">
        <is>
          <t>Factory shop</t>
        </is>
      </c>
      <c r="J22" s="25" t="inlineStr">
        <is>
          <t>Kombolcha</t>
        </is>
      </c>
      <c r="K22" s="25" t="inlineStr">
        <is>
          <t>Cash</t>
        </is>
      </c>
      <c r="L22" s="29" t="n"/>
      <c r="M22" s="25" t="n"/>
      <c r="N22" s="30" t="n">
        <v>100000</v>
      </c>
      <c r="O22" s="31">
        <f>IF(N22="","",IF(G22="Revenue",ROUND(N22*VATRate,2),0))</f>
        <v/>
      </c>
      <c r="P22" s="31">
        <f>IF(N22="","",N22+O22)</f>
        <v/>
      </c>
    </row>
    <row r="23">
      <c r="A23" s="26" t="n">
        <v>46305</v>
      </c>
      <c r="B23" s="27">
        <f>IF(A23="","",IF(OR(A23&lt;MIN(Lists!$C$4:$C$15),A23&gt;MAX(Lists!$D$4:$D$15)),"No period",INDEX(Lists!$B$4:$B$15,MATCH(A23,Lists!$C$4:$C$15,1))))</f>
        <v/>
      </c>
      <c r="C23" s="28">
        <f>IF(B23="","",IFERROR(INDEX(Lists!$A$4:$A$15,MATCH(B23,Lists!$B$4:$B$15,0)),0))</f>
        <v/>
      </c>
      <c r="D23" s="25" t="inlineStr">
        <is>
          <t>CS-0302</t>
        </is>
      </c>
      <c r="E23" s="24" t="n">
        <v>4030</v>
      </c>
      <c r="F23" s="27">
        <f>IF(E23="","",IFERROR(INDEX(Lists!$H$4:$H$40,MATCH(E23,Lists!$F$4:$F$40,0)),"UNMAPPED"))</f>
        <v/>
      </c>
      <c r="G23" s="25" t="inlineStr">
        <is>
          <t>Revenue</t>
        </is>
      </c>
      <c r="H23" s="25" t="inlineStr">
        <is>
          <t>Bran</t>
        </is>
      </c>
      <c r="I23" s="25" t="inlineStr">
        <is>
          <t>Factory shop</t>
        </is>
      </c>
      <c r="J23" s="25" t="inlineStr">
        <is>
          <t>Kombolcha</t>
        </is>
      </c>
      <c r="K23" s="25" t="inlineStr">
        <is>
          <t>Cash</t>
        </is>
      </c>
      <c r="L23" s="29" t="n"/>
      <c r="M23" s="25" t="n"/>
      <c r="N23" s="30" t="n">
        <v>100000</v>
      </c>
      <c r="O23" s="31">
        <f>IF(N23="","",IF(G23="Revenue",ROUND(N23*VATRate,2),0))</f>
        <v/>
      </c>
      <c r="P23" s="31">
        <f>IF(N23="","",N23+O23)</f>
        <v/>
      </c>
    </row>
    <row r="24">
      <c r="A24" s="26" t="n">
        <v>46305</v>
      </c>
      <c r="B24" s="27">
        <f>IF(A24="","",IF(OR(A24&lt;MIN(Lists!$C$4:$C$15),A24&gt;MAX(Lists!$D$4:$D$15)),"No period",INDEX(Lists!$B$4:$B$15,MATCH(A24,Lists!$C$4:$C$15,1))))</f>
        <v/>
      </c>
      <c r="C24" s="28">
        <f>IF(B24="","",IFERROR(INDEX(Lists!$A$4:$A$15,MATCH(B24,Lists!$B$4:$B$15,0)),0))</f>
        <v/>
      </c>
      <c r="D24" s="25" t="inlineStr">
        <is>
          <t>JV-0301</t>
        </is>
      </c>
      <c r="E24" s="24" t="n">
        <v>5010</v>
      </c>
      <c r="F24" s="27">
        <f>IF(E24="","",IFERROR(INDEX(Lists!$H$4:$H$40,MATCH(E24,Lists!$F$4:$F$40,0)),"UNMAPPED"))</f>
        <v/>
      </c>
      <c r="G24" s="25" t="inlineStr">
        <is>
          <t>Expense</t>
        </is>
      </c>
      <c r="H24" s="25" t="inlineStr">
        <is>
          <t>Flour</t>
        </is>
      </c>
      <c r="I24" s="25" t="inlineStr">
        <is>
          <t>Stock system: materials in flour sold</t>
        </is>
      </c>
      <c r="J24" s="25" t="inlineStr">
        <is>
          <t>Kombolcha</t>
        </is>
      </c>
      <c r="K24" s="25" t="inlineStr">
        <is>
          <t>Non-cash</t>
        </is>
      </c>
      <c r="L24" s="29" t="n">
        <v>512</v>
      </c>
      <c r="M24" s="25" t="inlineStr">
        <is>
          <t>quintal</t>
        </is>
      </c>
      <c r="N24" s="30" t="n">
        <v>3328000</v>
      </c>
      <c r="O24" s="31">
        <f>IF(N24="","",IF(G24="Revenue",ROUND(N24*VATRate,2),0))</f>
        <v/>
      </c>
      <c r="P24" s="31">
        <f>IF(N24="","",N24+O24)</f>
        <v/>
      </c>
    </row>
    <row r="25">
      <c r="A25" s="26" t="n">
        <v>46305</v>
      </c>
      <c r="B25" s="27">
        <f>IF(A25="","",IF(OR(A25&lt;MIN(Lists!$C$4:$C$15),A25&gt;MAX(Lists!$D$4:$D$15)),"No period",INDEX(Lists!$B$4:$B$15,MATCH(A25,Lists!$C$4:$C$15,1))))</f>
        <v/>
      </c>
      <c r="C25" s="28">
        <f>IF(B25="","",IFERROR(INDEX(Lists!$A$4:$A$15,MATCH(B25,Lists!$B$4:$B$15,0)),0))</f>
        <v/>
      </c>
      <c r="D25" s="25" t="inlineStr">
        <is>
          <t>JV-0302</t>
        </is>
      </c>
      <c r="E25" s="24" t="n">
        <v>5010</v>
      </c>
      <c r="F25" s="27">
        <f>IF(E25="","",IFERROR(INDEX(Lists!$H$4:$H$40,MATCH(E25,Lists!$F$4:$F$40,0)),"UNMAPPED"))</f>
        <v/>
      </c>
      <c r="G25" s="25" t="inlineStr">
        <is>
          <t>Expense</t>
        </is>
      </c>
      <c r="H25" s="25" t="inlineStr">
        <is>
          <t>Pasta</t>
        </is>
      </c>
      <c r="I25" s="25" t="inlineStr">
        <is>
          <t>Stock system: materials in pasta sold</t>
        </is>
      </c>
      <c r="J25" s="25" t="inlineStr">
        <is>
          <t>Kombolcha</t>
        </is>
      </c>
      <c r="K25" s="25" t="inlineStr">
        <is>
          <t>Non-cash</t>
        </is>
      </c>
      <c r="L25" s="29" t="n">
        <v>1875</v>
      </c>
      <c r="M25" s="25" t="inlineStr">
        <is>
          <t>carton</t>
        </is>
      </c>
      <c r="N25" s="30" t="n">
        <v>1515000</v>
      </c>
      <c r="O25" s="31">
        <f>IF(N25="","",IF(G25="Revenue",ROUND(N25*VATRate,2),0))</f>
        <v/>
      </c>
      <c r="P25" s="31">
        <f>IF(N25="","",N25+O25)</f>
        <v/>
      </c>
    </row>
    <row r="26">
      <c r="A26" s="26" t="n">
        <v>46305</v>
      </c>
      <c r="B26" s="27">
        <f>IF(A26="","",IF(OR(A26&lt;MIN(Lists!$C$4:$C$15),A26&gt;MAX(Lists!$D$4:$D$15)),"No period",INDEX(Lists!$B$4:$B$15,MATCH(A26,Lists!$C$4:$C$15,1))))</f>
        <v/>
      </c>
      <c r="C26" s="28">
        <f>IF(B26="","",IFERROR(INDEX(Lists!$A$4:$A$15,MATCH(B26,Lists!$B$4:$B$15,0)),0))</f>
        <v/>
      </c>
      <c r="D26" s="25" t="inlineStr">
        <is>
          <t>JV-0303</t>
        </is>
      </c>
      <c r="E26" s="24" t="n">
        <v>5020</v>
      </c>
      <c r="F26" s="27">
        <f>IF(E26="","",IFERROR(INDEX(Lists!$H$4:$H$40,MATCH(E26,Lists!$F$4:$F$40,0)),"UNMAPPED"))</f>
        <v/>
      </c>
      <c r="G26" s="25" t="inlineStr">
        <is>
          <t>Expense</t>
        </is>
      </c>
      <c r="H26" s="25" t="inlineStr">
        <is>
          <t>Pasta</t>
        </is>
      </c>
      <c r="I26" s="25" t="inlineStr">
        <is>
          <t>Stock count: pasta cartons short</t>
        </is>
      </c>
      <c r="J26" s="25" t="inlineStr">
        <is>
          <t>Kombolcha</t>
        </is>
      </c>
      <c r="K26" s="25" t="inlineStr">
        <is>
          <t>Non-cash</t>
        </is>
      </c>
      <c r="L26" s="29" t="n">
        <v>40</v>
      </c>
      <c r="M26" s="25" t="inlineStr">
        <is>
          <t>carton</t>
        </is>
      </c>
      <c r="N26" s="30" t="n">
        <v>56000</v>
      </c>
      <c r="O26" s="31">
        <f>IF(N26="","",IF(G26="Revenue",ROUND(N26*VATRate,2),0))</f>
        <v/>
      </c>
      <c r="P26" s="31">
        <f>IF(N26="","",N26+O26)</f>
        <v/>
      </c>
    </row>
    <row r="27">
      <c r="A27" s="26" t="n">
        <v>46305</v>
      </c>
      <c r="B27" s="27">
        <f>IF(A27="","",IF(OR(A27&lt;MIN(Lists!$C$4:$C$15),A27&gt;MAX(Lists!$D$4:$D$15)),"No period",INDEX(Lists!$B$4:$B$15,MATCH(A27,Lists!$C$4:$C$15,1))))</f>
        <v/>
      </c>
      <c r="C27" s="28">
        <f>IF(B27="","",IFERROR(INDEX(Lists!$A$4:$A$15,MATCH(B27,Lists!$B$4:$B$15,0)),0))</f>
        <v/>
      </c>
      <c r="D27" s="25" t="inlineStr">
        <is>
          <t>JV-0303</t>
        </is>
      </c>
      <c r="E27" s="24" t="n">
        <v>5020</v>
      </c>
      <c r="F27" s="27">
        <f>IF(E27="","",IFERROR(INDEX(Lists!$H$4:$H$40,MATCH(E27,Lists!$F$4:$F$40,0)),"UNMAPPED"))</f>
        <v/>
      </c>
      <c r="G27" s="25" t="inlineStr">
        <is>
          <t>Expense</t>
        </is>
      </c>
      <c r="H27" s="25" t="inlineStr">
        <is>
          <t>Packaging</t>
        </is>
      </c>
      <c r="I27" s="25" t="inlineStr">
        <is>
          <t>Stock count: printed bags short</t>
        </is>
      </c>
      <c r="J27" s="25" t="inlineStr">
        <is>
          <t>Kombolcha</t>
        </is>
      </c>
      <c r="K27" s="25" t="inlineStr">
        <is>
          <t>Non-cash</t>
        </is>
      </c>
      <c r="L27" s="29" t="n">
        <v>250</v>
      </c>
      <c r="M27" s="25" t="inlineStr">
        <is>
          <t>bag</t>
        </is>
      </c>
      <c r="N27" s="30" t="n">
        <v>1000</v>
      </c>
      <c r="O27" s="31">
        <f>IF(N27="","",IF(G27="Revenue",ROUND(N27*VATRate,2),0))</f>
        <v/>
      </c>
      <c r="P27" s="31">
        <f>IF(N27="","",N27+O27)</f>
        <v/>
      </c>
    </row>
    <row r="28">
      <c r="A28" s="26" t="n">
        <v>46305</v>
      </c>
      <c r="B28" s="27">
        <f>IF(A28="","",IF(OR(A28&lt;MIN(Lists!$C$4:$C$15),A28&gt;MAX(Lists!$D$4:$D$15)),"No period",INDEX(Lists!$B$4:$B$15,MATCH(A28,Lists!$C$4:$C$15,1))))</f>
        <v/>
      </c>
      <c r="C28" s="28">
        <f>IF(B28="","",IFERROR(INDEX(Lists!$A$4:$A$15,MATCH(B28,Lists!$B$4:$B$15,0)),0))</f>
        <v/>
      </c>
      <c r="D28" s="25" t="inlineStr">
        <is>
          <t>JV-0304</t>
        </is>
      </c>
      <c r="E28" s="24" t="n">
        <v>5030</v>
      </c>
      <c r="F28" s="27">
        <f>IF(E28="","",IFERROR(INDEX(Lists!$H$4:$H$40,MATCH(E28,Lists!$F$4:$F$40,0)),"UNMAPPED"))</f>
        <v/>
      </c>
      <c r="G28" s="25" t="inlineStr">
        <is>
          <t>Expense</t>
        </is>
      </c>
      <c r="H28" s="25" t="inlineStr">
        <is>
          <t>Flour</t>
        </is>
      </c>
      <c r="I28" s="25" t="inlineStr">
        <is>
          <t>Stock system: bags used</t>
        </is>
      </c>
      <c r="J28" s="25" t="inlineStr">
        <is>
          <t>Kombolcha</t>
        </is>
      </c>
      <c r="K28" s="25" t="inlineStr">
        <is>
          <t>Non-cash</t>
        </is>
      </c>
      <c r="L28" s="29" t="n"/>
      <c r="M28" s="25" t="n"/>
      <c r="N28" s="30" t="n">
        <v>220000</v>
      </c>
      <c r="O28" s="31">
        <f>IF(N28="","",IF(G28="Revenue",ROUND(N28*VATRate,2),0))</f>
        <v/>
      </c>
      <c r="P28" s="31">
        <f>IF(N28="","",N28+O28)</f>
        <v/>
      </c>
    </row>
    <row r="29">
      <c r="A29" s="26" t="n">
        <v>46305</v>
      </c>
      <c r="B29" s="27">
        <f>IF(A29="","",IF(OR(A29&lt;MIN(Lists!$C$4:$C$15),A29&gt;MAX(Lists!$D$4:$D$15)),"No period",INDEX(Lists!$B$4:$B$15,MATCH(A29,Lists!$C$4:$C$15,1))))</f>
        <v/>
      </c>
      <c r="C29" s="28">
        <f>IF(B29="","",IFERROR(INDEX(Lists!$A$4:$A$15,MATCH(B29,Lists!$B$4:$B$15,0)),0))</f>
        <v/>
      </c>
      <c r="D29" s="25" t="inlineStr">
        <is>
          <t>JV-0304</t>
        </is>
      </c>
      <c r="E29" s="24" t="n">
        <v>5030</v>
      </c>
      <c r="F29" s="27">
        <f>IF(E29="","",IFERROR(INDEX(Lists!$H$4:$H$40,MATCH(E29,Lists!$F$4:$F$40,0)),"UNMAPPED"))</f>
        <v/>
      </c>
      <c r="G29" s="25" t="inlineStr">
        <is>
          <t>Expense</t>
        </is>
      </c>
      <c r="H29" s="25" t="inlineStr">
        <is>
          <t>Pasta</t>
        </is>
      </c>
      <c r="I29" s="25" t="inlineStr">
        <is>
          <t>Stock system: film and cartons used</t>
        </is>
      </c>
      <c r="J29" s="25" t="inlineStr">
        <is>
          <t>Kombolcha</t>
        </is>
      </c>
      <c r="K29" s="25" t="inlineStr">
        <is>
          <t>Non-cash</t>
        </is>
      </c>
      <c r="L29" s="29" t="n"/>
      <c r="M29" s="25" t="n"/>
      <c r="N29" s="30" t="n">
        <v>180000</v>
      </c>
      <c r="O29" s="31">
        <f>IF(N29="","",IF(G29="Revenue",ROUND(N29*VATRate,2),0))</f>
        <v/>
      </c>
      <c r="P29" s="31">
        <f>IF(N29="","",N29+O29)</f>
        <v/>
      </c>
    </row>
    <row r="30">
      <c r="A30" s="26" t="n">
        <v>46303</v>
      </c>
      <c r="B30" s="27">
        <f>IF(A30="","",IF(OR(A30&lt;MIN(Lists!$C$4:$C$15),A30&gt;MAX(Lists!$D$4:$D$15)),"No period",INDEX(Lists!$B$4:$B$15,MATCH(A30,Lists!$C$4:$C$15,1))))</f>
        <v/>
      </c>
      <c r="C30" s="28">
        <f>IF(B30="","",IFERROR(INDEX(Lists!$A$4:$A$15,MATCH(B30,Lists!$B$4:$B$15,0)),0))</f>
        <v/>
      </c>
      <c r="D30" s="25" t="inlineStr">
        <is>
          <t>PAY-0301</t>
        </is>
      </c>
      <c r="E30" s="24" t="n">
        <v>5040</v>
      </c>
      <c r="F30" s="27">
        <f>IF(E30="","",IFERROR(INDEX(Lists!$H$4:$H$40,MATCH(E30,Lists!$F$4:$F$40,0)),"UNMAPPED"))</f>
        <v/>
      </c>
      <c r="G30" s="25" t="inlineStr">
        <is>
          <t>Expense</t>
        </is>
      </c>
      <c r="H30" s="25" t="inlineStr">
        <is>
          <t>General</t>
        </is>
      </c>
      <c r="I30" s="25" t="inlineStr">
        <is>
          <t>Payroll: production staff</t>
        </is>
      </c>
      <c r="J30" s="25" t="inlineStr">
        <is>
          <t>Kombolcha</t>
        </is>
      </c>
      <c r="K30" s="25" t="inlineStr">
        <is>
          <t>Bank</t>
        </is>
      </c>
      <c r="L30" s="29" t="n"/>
      <c r="M30" s="25" t="n"/>
      <c r="N30" s="30" t="n">
        <v>360000</v>
      </c>
      <c r="O30" s="31">
        <f>IF(N30="","",IF(G30="Revenue",ROUND(N30*VATRate,2),0))</f>
        <v/>
      </c>
      <c r="P30" s="31">
        <f>IF(N30="","",N30+O30)</f>
        <v/>
      </c>
    </row>
    <row r="31">
      <c r="A31" s="26" t="n">
        <v>46300</v>
      </c>
      <c r="B31" s="27">
        <f>IF(A31="","",IF(OR(A31&lt;MIN(Lists!$C$4:$C$15),A31&gt;MAX(Lists!$D$4:$D$15)),"No period",INDEX(Lists!$B$4:$B$15,MATCH(A31,Lists!$C$4:$C$15,1))))</f>
        <v/>
      </c>
      <c r="C31" s="28">
        <f>IF(B31="","",IFERROR(INDEX(Lists!$A$4:$A$15,MATCH(B31,Lists!$B$4:$B$15,0)),0))</f>
        <v/>
      </c>
      <c r="D31" s="25" t="inlineStr">
        <is>
          <t>PV-0315</t>
        </is>
      </c>
      <c r="E31" s="24" t="n">
        <v>5050</v>
      </c>
      <c r="F31" s="27">
        <f>IF(E31="","",IFERROR(INDEX(Lists!$H$4:$H$40,MATCH(E31,Lists!$F$4:$F$40,0)),"UNMAPPED"))</f>
        <v/>
      </c>
      <c r="G31" s="25" t="inlineStr">
        <is>
          <t>Expense</t>
        </is>
      </c>
      <c r="H31" s="25" t="inlineStr">
        <is>
          <t>General</t>
        </is>
      </c>
      <c r="I31" s="25" t="inlineStr">
        <is>
          <t>Electricity bill</t>
        </is>
      </c>
      <c r="J31" s="25" t="inlineStr">
        <is>
          <t>Kombolcha</t>
        </is>
      </c>
      <c r="K31" s="25" t="inlineStr">
        <is>
          <t>Bank</t>
        </is>
      </c>
      <c r="L31" s="29" t="n"/>
      <c r="M31" s="25" t="n"/>
      <c r="N31" s="30" t="n">
        <v>180000</v>
      </c>
      <c r="O31" s="31">
        <f>IF(N31="","",IF(G31="Revenue",ROUND(N31*VATRate,2),0))</f>
        <v/>
      </c>
      <c r="P31" s="31">
        <f>IF(N31="","",N31+O31)</f>
        <v/>
      </c>
    </row>
    <row r="32">
      <c r="A32" s="26" t="n">
        <v>46285</v>
      </c>
      <c r="B32" s="27">
        <f>IF(A32="","",IF(OR(A32&lt;MIN(Lists!$C$4:$C$15),A32&gt;MAX(Lists!$D$4:$D$15)),"No period",INDEX(Lists!$B$4:$B$15,MATCH(A32,Lists!$C$4:$C$15,1))))</f>
        <v/>
      </c>
      <c r="C32" s="28">
        <f>IF(B32="","",IFERROR(INDEX(Lists!$A$4:$A$15,MATCH(B32,Lists!$B$4:$B$15,0)),0))</f>
        <v/>
      </c>
      <c r="D32" s="25" t="inlineStr">
        <is>
          <t>PV-0308</t>
        </is>
      </c>
      <c r="E32" s="24" t="n">
        <v>5050</v>
      </c>
      <c r="F32" s="27">
        <f>IF(E32="","",IFERROR(INDEX(Lists!$H$4:$H$40,MATCH(E32,Lists!$F$4:$F$40,0)),"UNMAPPED"))</f>
        <v/>
      </c>
      <c r="G32" s="25" t="inlineStr">
        <is>
          <t>Expense</t>
        </is>
      </c>
      <c r="H32" s="25" t="inlineStr">
        <is>
          <t>General</t>
        </is>
      </c>
      <c r="I32" s="25" t="inlineStr">
        <is>
          <t>Generator diesel</t>
        </is>
      </c>
      <c r="J32" s="25" t="inlineStr">
        <is>
          <t>Kombolcha</t>
        </is>
      </c>
      <c r="K32" s="25" t="inlineStr">
        <is>
          <t>Bank</t>
        </is>
      </c>
      <c r="L32" s="29" t="n"/>
      <c r="M32" s="25" t="n"/>
      <c r="N32" s="30" t="n">
        <v>45000</v>
      </c>
      <c r="O32" s="31">
        <f>IF(N32="","",IF(G32="Revenue",ROUND(N32*VATRate,2),0))</f>
        <v/>
      </c>
      <c r="P32" s="31">
        <f>IF(N32="","",N32+O32)</f>
        <v/>
      </c>
    </row>
    <row r="33">
      <c r="A33" s="26" t="n">
        <v>46299</v>
      </c>
      <c r="B33" s="27">
        <f>IF(A33="","",IF(OR(A33&lt;MIN(Lists!$C$4:$C$15),A33&gt;MAX(Lists!$D$4:$D$15)),"No period",INDEX(Lists!$B$4:$B$15,MATCH(A33,Lists!$C$4:$C$15,1))))</f>
        <v/>
      </c>
      <c r="C33" s="28">
        <f>IF(B33="","",IFERROR(INDEX(Lists!$A$4:$A$15,MATCH(B33,Lists!$B$4:$B$15,0)),0))</f>
        <v/>
      </c>
      <c r="D33" s="25" t="inlineStr">
        <is>
          <t>PV-0314</t>
        </is>
      </c>
      <c r="E33" s="24" t="n">
        <v>5050</v>
      </c>
      <c r="F33" s="27">
        <f>IF(E33="","",IFERROR(INDEX(Lists!$H$4:$H$40,MATCH(E33,Lists!$F$4:$F$40,0)),"UNMAPPED"))</f>
        <v/>
      </c>
      <c r="G33" s="25" t="inlineStr">
        <is>
          <t>Expense</t>
        </is>
      </c>
      <c r="H33" s="25" t="inlineStr">
        <is>
          <t>General</t>
        </is>
      </c>
      <c r="I33" s="25" t="inlineStr">
        <is>
          <t>Generator diesel</t>
        </is>
      </c>
      <c r="J33" s="25" t="inlineStr">
        <is>
          <t>Kombolcha</t>
        </is>
      </c>
      <c r="K33" s="25" t="inlineStr">
        <is>
          <t>Bank</t>
        </is>
      </c>
      <c r="L33" s="29" t="n"/>
      <c r="M33" s="25" t="n"/>
      <c r="N33" s="30" t="n">
        <v>45000</v>
      </c>
      <c r="O33" s="31">
        <f>IF(N33="","",IF(G33="Revenue",ROUND(N33*VATRate,2),0))</f>
        <v/>
      </c>
      <c r="P33" s="31">
        <f>IF(N33="","",N33+O33)</f>
        <v/>
      </c>
    </row>
    <row r="34">
      <c r="A34" s="26" t="n">
        <v>46292</v>
      </c>
      <c r="B34" s="27">
        <f>IF(A34="","",IF(OR(A34&lt;MIN(Lists!$C$4:$C$15),A34&gt;MAX(Lists!$D$4:$D$15)),"No period",INDEX(Lists!$B$4:$B$15,MATCH(A34,Lists!$C$4:$C$15,1))))</f>
        <v/>
      </c>
      <c r="C34" s="28">
        <f>IF(B34="","",IFERROR(INDEX(Lists!$A$4:$A$15,MATCH(B34,Lists!$B$4:$B$15,0)),0))</f>
        <v/>
      </c>
      <c r="D34" s="25" t="inlineStr">
        <is>
          <t>PV-0311</t>
        </is>
      </c>
      <c r="E34" s="24" t="n">
        <v>5050</v>
      </c>
      <c r="F34" s="27">
        <f>IF(E34="","",IFERROR(INDEX(Lists!$H$4:$H$40,MATCH(E34,Lists!$F$4:$F$40,0)),"UNMAPPED"))</f>
        <v/>
      </c>
      <c r="G34" s="25" t="inlineStr">
        <is>
          <t>Expense</t>
        </is>
      </c>
      <c r="H34" s="25" t="inlineStr">
        <is>
          <t>General</t>
        </is>
      </c>
      <c r="I34" s="25" t="inlineStr">
        <is>
          <t>Maintenance contractor</t>
        </is>
      </c>
      <c r="J34" s="25" t="inlineStr">
        <is>
          <t>Kombolcha</t>
        </is>
      </c>
      <c r="K34" s="25" t="inlineStr">
        <is>
          <t>Credit</t>
        </is>
      </c>
      <c r="L34" s="29" t="n"/>
      <c r="M34" s="25" t="n"/>
      <c r="N34" s="30" t="n">
        <v>60000</v>
      </c>
      <c r="O34" s="31">
        <f>IF(N34="","",IF(G34="Revenue",ROUND(N34*VATRate,2),0))</f>
        <v/>
      </c>
      <c r="P34" s="31">
        <f>IF(N34="","",N34+O34)</f>
        <v/>
      </c>
    </row>
    <row r="35">
      <c r="A35" s="26" t="n">
        <v>46305</v>
      </c>
      <c r="B35" s="27">
        <f>IF(A35="","",IF(OR(A35&lt;MIN(Lists!$C$4:$C$15),A35&gt;MAX(Lists!$D$4:$D$15)),"No period",INDEX(Lists!$B$4:$B$15,MATCH(A35,Lists!$C$4:$C$15,1))))</f>
        <v/>
      </c>
      <c r="C35" s="28">
        <f>IF(B35="","",IFERROR(INDEX(Lists!$A$4:$A$15,MATCH(B35,Lists!$B$4:$B$15,0)),0))</f>
        <v/>
      </c>
      <c r="D35" s="25" t="inlineStr">
        <is>
          <t>JV-0305</t>
        </is>
      </c>
      <c r="E35" s="24" t="n">
        <v>5060</v>
      </c>
      <c r="F35" s="27">
        <f>IF(E35="","",IFERROR(INDEX(Lists!$H$4:$H$40,MATCH(E35,Lists!$F$4:$F$40,0)),"UNMAPPED"))</f>
        <v/>
      </c>
      <c r="G35" s="25" t="inlineStr">
        <is>
          <t>Expense</t>
        </is>
      </c>
      <c r="H35" s="25" t="inlineStr">
        <is>
          <t>General</t>
        </is>
      </c>
      <c r="I35" s="25" t="inlineStr">
        <is>
          <t>Depreciation: factory assets</t>
        </is>
      </c>
      <c r="J35" s="25" t="inlineStr">
        <is>
          <t>Kombolcha</t>
        </is>
      </c>
      <c r="K35" s="25" t="inlineStr">
        <is>
          <t>Non-cash</t>
        </is>
      </c>
      <c r="L35" s="29" t="n"/>
      <c r="M35" s="25" t="n"/>
      <c r="N35" s="30" t="n">
        <v>160000</v>
      </c>
      <c r="O35" s="31">
        <f>IF(N35="","",IF(G35="Revenue",ROUND(N35*VATRate,2),0))</f>
        <v/>
      </c>
      <c r="P35" s="31">
        <f>IF(N35="","",N35+O35)</f>
        <v/>
      </c>
    </row>
    <row r="36">
      <c r="A36" s="26" t="n">
        <v>46295</v>
      </c>
      <c r="B36" s="27">
        <f>IF(A36="","",IF(OR(A36&lt;MIN(Lists!$C$4:$C$15),A36&gt;MAX(Lists!$D$4:$D$15)),"No period",INDEX(Lists!$B$4:$B$15,MATCH(A36,Lists!$C$4:$C$15,1))))</f>
        <v/>
      </c>
      <c r="C36" s="28">
        <f>IF(B36="","",IFERROR(INDEX(Lists!$A$4:$A$15,MATCH(B36,Lists!$B$4:$B$15,0)),0))</f>
        <v/>
      </c>
      <c r="D36" s="25" t="inlineStr">
        <is>
          <t>PV-0312</t>
        </is>
      </c>
      <c r="E36" s="24" t="n">
        <v>6010</v>
      </c>
      <c r="F36" s="27">
        <f>IF(E36="","",IFERROR(INDEX(Lists!$H$4:$H$40,MATCH(E36,Lists!$F$4:$F$40,0)),"UNMAPPED"))</f>
        <v/>
      </c>
      <c r="G36" s="25" t="inlineStr">
        <is>
          <t>Expense</t>
        </is>
      </c>
      <c r="H36" s="25" t="inlineStr">
        <is>
          <t>General</t>
        </is>
      </c>
      <c r="I36" s="25" t="inlineStr">
        <is>
          <t>Transport out: carriers</t>
        </is>
      </c>
      <c r="J36" s="25" t="inlineStr">
        <is>
          <t>All</t>
        </is>
      </c>
      <c r="K36" s="25" t="inlineStr">
        <is>
          <t>Credit</t>
        </is>
      </c>
      <c r="L36" s="29" t="n"/>
      <c r="M36" s="25" t="n"/>
      <c r="N36" s="30" t="n">
        <v>150000</v>
      </c>
      <c r="O36" s="31">
        <f>IF(N36="","",IF(G36="Revenue",ROUND(N36*VATRate,2),0))</f>
        <v/>
      </c>
      <c r="P36" s="31">
        <f>IF(N36="","",N36+O36)</f>
        <v/>
      </c>
    </row>
    <row r="37">
      <c r="A37" s="26" t="n">
        <v>46305</v>
      </c>
      <c r="B37" s="27">
        <f>IF(A37="","",IF(OR(A37&lt;MIN(Lists!$C$4:$C$15),A37&gt;MAX(Lists!$D$4:$D$15)),"No period",INDEX(Lists!$B$4:$B$15,MATCH(A37,Lists!$C$4:$C$15,1))))</f>
        <v/>
      </c>
      <c r="C37" s="28">
        <f>IF(B37="","",IFERROR(INDEX(Lists!$A$4:$A$15,MATCH(B37,Lists!$B$4:$B$15,0)),0))</f>
        <v/>
      </c>
      <c r="D37" s="25" t="inlineStr">
        <is>
          <t>PV-0320</t>
        </is>
      </c>
      <c r="E37" s="24" t="n">
        <v>6010</v>
      </c>
      <c r="F37" s="27">
        <f>IF(E37="","",IFERROR(INDEX(Lists!$H$4:$H$40,MATCH(E37,Lists!$F$4:$F$40,0)),"UNMAPPED"))</f>
        <v/>
      </c>
      <c r="G37" s="25" t="inlineStr">
        <is>
          <t>Expense</t>
        </is>
      </c>
      <c r="H37" s="25" t="inlineStr">
        <is>
          <t>General</t>
        </is>
      </c>
      <c r="I37" s="25" t="inlineStr">
        <is>
          <t>Transport out: carriers</t>
        </is>
      </c>
      <c r="J37" s="25" t="inlineStr">
        <is>
          <t>All</t>
        </is>
      </c>
      <c r="K37" s="25" t="inlineStr">
        <is>
          <t>Credit</t>
        </is>
      </c>
      <c r="L37" s="29" t="n"/>
      <c r="M37" s="25" t="n"/>
      <c r="N37" s="30" t="n">
        <v>150000</v>
      </c>
      <c r="O37" s="31">
        <f>IF(N37="","",IF(G37="Revenue",ROUND(N37*VATRate,2),0))</f>
        <v/>
      </c>
      <c r="P37" s="31">
        <f>IF(N37="","",N37+O37)</f>
        <v/>
      </c>
    </row>
    <row r="38">
      <c r="A38" s="26" t="n">
        <v>46305</v>
      </c>
      <c r="B38" s="27">
        <f>IF(A38="","",IF(OR(A38&lt;MIN(Lists!$C$4:$C$15),A38&gt;MAX(Lists!$D$4:$D$15)),"No period",INDEX(Lists!$B$4:$B$15,MATCH(A38,Lists!$C$4:$C$15,1))))</f>
        <v/>
      </c>
      <c r="C38" s="28">
        <f>IF(B38="","",IFERROR(INDEX(Lists!$A$4:$A$15,MATCH(B38,Lists!$B$4:$B$15,0)),0))</f>
        <v/>
      </c>
      <c r="D38" s="25" t="inlineStr">
        <is>
          <t>JV-0306</t>
        </is>
      </c>
      <c r="E38" s="24" t="n">
        <v>6020</v>
      </c>
      <c r="F38" s="27">
        <f>IF(E38="","",IFERROR(INDEX(Lists!$H$4:$H$40,MATCH(E38,Lists!$F$4:$F$40,0)),"UNMAPPED"))</f>
        <v/>
      </c>
      <c r="G38" s="25" t="inlineStr">
        <is>
          <t>Expense</t>
        </is>
      </c>
      <c r="H38" s="25" t="inlineStr">
        <is>
          <t>General</t>
        </is>
      </c>
      <c r="I38" s="25" t="inlineStr">
        <is>
          <t>Sales commissions</t>
        </is>
      </c>
      <c r="J38" s="25" t="inlineStr">
        <is>
          <t>All</t>
        </is>
      </c>
      <c r="K38" s="25" t="inlineStr">
        <is>
          <t>Non-cash</t>
        </is>
      </c>
      <c r="L38" s="29" t="n"/>
      <c r="M38" s="25" t="n"/>
      <c r="N38" s="30" t="n">
        <v>110000</v>
      </c>
      <c r="O38" s="31">
        <f>IF(N38="","",IF(G38="Revenue",ROUND(N38*VATRate,2),0))</f>
        <v/>
      </c>
      <c r="P38" s="31">
        <f>IF(N38="","",N38+O38)</f>
        <v/>
      </c>
    </row>
    <row r="39">
      <c r="A39" s="26" t="n">
        <v>46303</v>
      </c>
      <c r="B39" s="27">
        <f>IF(A39="","",IF(OR(A39&lt;MIN(Lists!$C$4:$C$15),A39&gt;MAX(Lists!$D$4:$D$15)),"No period",INDEX(Lists!$B$4:$B$15,MATCH(A39,Lists!$C$4:$C$15,1))))</f>
        <v/>
      </c>
      <c r="C39" s="28">
        <f>IF(B39="","",IFERROR(INDEX(Lists!$A$4:$A$15,MATCH(B39,Lists!$B$4:$B$15,0)),0))</f>
        <v/>
      </c>
      <c r="D39" s="25" t="inlineStr">
        <is>
          <t>PAY-0301</t>
        </is>
      </c>
      <c r="E39" s="24" t="n">
        <v>6030</v>
      </c>
      <c r="F39" s="27">
        <f>IF(E39="","",IFERROR(INDEX(Lists!$H$4:$H$40,MATCH(E39,Lists!$F$4:$F$40,0)),"UNMAPPED"))</f>
        <v/>
      </c>
      <c r="G39" s="25" t="inlineStr">
        <is>
          <t>Expense</t>
        </is>
      </c>
      <c r="H39" s="25" t="inlineStr">
        <is>
          <t>General</t>
        </is>
      </c>
      <c r="I39" s="25" t="inlineStr">
        <is>
          <t>Payroll: sales staff</t>
        </is>
      </c>
      <c r="J39" s="25" t="inlineStr">
        <is>
          <t>Kombolcha</t>
        </is>
      </c>
      <c r="K39" s="25" t="inlineStr">
        <is>
          <t>Bank</t>
        </is>
      </c>
      <c r="L39" s="29" t="n"/>
      <c r="M39" s="25" t="n"/>
      <c r="N39" s="30" t="n">
        <v>160000</v>
      </c>
      <c r="O39" s="31">
        <f>IF(N39="","",IF(G39="Revenue",ROUND(N39*VATRate,2),0))</f>
        <v/>
      </c>
      <c r="P39" s="31">
        <f>IF(N39="","",N39+O39)</f>
        <v/>
      </c>
    </row>
    <row r="40">
      <c r="A40" s="26" t="n">
        <v>46286</v>
      </c>
      <c r="B40" s="27">
        <f>IF(A40="","",IF(OR(A40&lt;MIN(Lists!$C$4:$C$15),A40&gt;MAX(Lists!$D$4:$D$15)),"No period",INDEX(Lists!$B$4:$B$15,MATCH(A40,Lists!$C$4:$C$15,1))))</f>
        <v/>
      </c>
      <c r="C40" s="28">
        <f>IF(B40="","",IFERROR(INDEX(Lists!$A$4:$A$15,MATCH(B40,Lists!$B$4:$B$15,0)),0))</f>
        <v/>
      </c>
      <c r="D40" s="25" t="inlineStr">
        <is>
          <t>PV-0309</t>
        </is>
      </c>
      <c r="E40" s="24" t="n">
        <v>6040</v>
      </c>
      <c r="F40" s="27">
        <f>IF(E40="","",IFERROR(INDEX(Lists!$H$4:$H$40,MATCH(E40,Lists!$F$4:$F$40,0)),"UNMAPPED"))</f>
        <v/>
      </c>
      <c r="G40" s="25" t="inlineStr">
        <is>
          <t>Expense</t>
        </is>
      </c>
      <c r="H40" s="25" t="inlineStr">
        <is>
          <t>General</t>
        </is>
      </c>
      <c r="I40" s="25" t="inlineStr">
        <is>
          <t>Promotion: Meskel supermarket displays</t>
        </is>
      </c>
      <c r="J40" s="25" t="inlineStr">
        <is>
          <t>All</t>
        </is>
      </c>
      <c r="K40" s="25" t="inlineStr">
        <is>
          <t>Bank</t>
        </is>
      </c>
      <c r="L40" s="29" t="n"/>
      <c r="M40" s="25" t="n"/>
      <c r="N40" s="30" t="n">
        <v>50000</v>
      </c>
      <c r="O40" s="31">
        <f>IF(N40="","",IF(G40="Revenue",ROUND(N40*VATRate,2),0))</f>
        <v/>
      </c>
      <c r="P40" s="31">
        <f>IF(N40="","",N40+O40)</f>
        <v/>
      </c>
    </row>
    <row r="41">
      <c r="A41" s="26" t="n">
        <v>46303</v>
      </c>
      <c r="B41" s="27">
        <f>IF(A41="","",IF(OR(A41&lt;MIN(Lists!$C$4:$C$15),A41&gt;MAX(Lists!$D$4:$D$15)),"No period",INDEX(Lists!$B$4:$B$15,MATCH(A41,Lists!$C$4:$C$15,1))))</f>
        <v/>
      </c>
      <c r="C41" s="28">
        <f>IF(B41="","",IFERROR(INDEX(Lists!$A$4:$A$15,MATCH(B41,Lists!$B$4:$B$15,0)),0))</f>
        <v/>
      </c>
      <c r="D41" s="25" t="inlineStr">
        <is>
          <t>PAY-0301</t>
        </is>
      </c>
      <c r="E41" s="24" t="n">
        <v>6110</v>
      </c>
      <c r="F41" s="27">
        <f>IF(E41="","",IFERROR(INDEX(Lists!$H$4:$H$40,MATCH(E41,Lists!$F$4:$F$40,0)),"UNMAPPED"))</f>
        <v/>
      </c>
      <c r="G41" s="25" t="inlineStr">
        <is>
          <t>Expense</t>
        </is>
      </c>
      <c r="H41" s="25" t="inlineStr">
        <is>
          <t>General</t>
        </is>
      </c>
      <c r="I41" s="25" t="inlineStr">
        <is>
          <t>Payroll: administration</t>
        </is>
      </c>
      <c r="J41" s="25" t="inlineStr">
        <is>
          <t>Kombolcha</t>
        </is>
      </c>
      <c r="K41" s="25" t="inlineStr">
        <is>
          <t>Bank</t>
        </is>
      </c>
      <c r="L41" s="29" t="n"/>
      <c r="M41" s="25" t="n"/>
      <c r="N41" s="30" t="n">
        <v>340000</v>
      </c>
      <c r="O41" s="31">
        <f>IF(N41="","",IF(G41="Revenue",ROUND(N41*VATRate,2),0))</f>
        <v/>
      </c>
      <c r="P41" s="31">
        <f>IF(N41="","",N41+O41)</f>
        <v/>
      </c>
    </row>
    <row r="42">
      <c r="A42" s="26" t="n">
        <v>46277</v>
      </c>
      <c r="B42" s="27">
        <f>IF(A42="","",IF(OR(A42&lt;MIN(Lists!$C$4:$C$15),A42&gt;MAX(Lists!$D$4:$D$15)),"No period",INDEX(Lists!$B$4:$B$15,MATCH(A42,Lists!$C$4:$C$15,1))))</f>
        <v/>
      </c>
      <c r="C42" s="28">
        <f>IF(B42="","",IFERROR(INDEX(Lists!$A$4:$A$15,MATCH(B42,Lists!$B$4:$B$15,0)),0))</f>
        <v/>
      </c>
      <c r="D42" s="25" t="inlineStr">
        <is>
          <t>PV-0301</t>
        </is>
      </c>
      <c r="E42" s="24" t="n">
        <v>6120</v>
      </c>
      <c r="F42" s="27">
        <f>IF(E42="","",IFERROR(INDEX(Lists!$H$4:$H$40,MATCH(E42,Lists!$F$4:$F$40,0)),"UNMAPPED"))</f>
        <v/>
      </c>
      <c r="G42" s="25" t="inlineStr">
        <is>
          <t>Expense</t>
        </is>
      </c>
      <c r="H42" s="25" t="inlineStr">
        <is>
          <t>General</t>
        </is>
      </c>
      <c r="I42" s="25" t="inlineStr">
        <is>
          <t>Office rent</t>
        </is>
      </c>
      <c r="J42" s="25" t="inlineStr">
        <is>
          <t>Kombolcha</t>
        </is>
      </c>
      <c r="K42" s="25" t="inlineStr">
        <is>
          <t>Bank</t>
        </is>
      </c>
      <c r="L42" s="29" t="n"/>
      <c r="M42" s="25" t="n"/>
      <c r="N42" s="30" t="n">
        <v>70000</v>
      </c>
      <c r="O42" s="31">
        <f>IF(N42="","",IF(G42="Revenue",ROUND(N42*VATRate,2),0))</f>
        <v/>
      </c>
      <c r="P42" s="31">
        <f>IF(N42="","",N42+O42)</f>
        <v/>
      </c>
    </row>
    <row r="43">
      <c r="A43" s="26" t="n">
        <v>46301</v>
      </c>
      <c r="B43" s="27">
        <f>IF(A43="","",IF(OR(A43&lt;MIN(Lists!$C$4:$C$15),A43&gt;MAX(Lists!$D$4:$D$15)),"No period",INDEX(Lists!$B$4:$B$15,MATCH(A43,Lists!$C$4:$C$15,1))))</f>
        <v/>
      </c>
      <c r="C43" s="28">
        <f>IF(B43="","",IFERROR(INDEX(Lists!$A$4:$A$15,MATCH(B43,Lists!$B$4:$B$15,0)),0))</f>
        <v/>
      </c>
      <c r="D43" s="25" t="inlineStr">
        <is>
          <t>PV-0316</t>
        </is>
      </c>
      <c r="E43" s="24" t="n">
        <v>6120</v>
      </c>
      <c r="F43" s="27">
        <f>IF(E43="","",IFERROR(INDEX(Lists!$H$4:$H$40,MATCH(E43,Lists!$F$4:$F$40,0)),"UNMAPPED"))</f>
        <v/>
      </c>
      <c r="G43" s="25" t="inlineStr">
        <is>
          <t>Expense</t>
        </is>
      </c>
      <c r="H43" s="25" t="inlineStr">
        <is>
          <t>General</t>
        </is>
      </c>
      <c r="I43" s="25" t="inlineStr">
        <is>
          <t>Water and telecom</t>
        </is>
      </c>
      <c r="J43" s="25" t="inlineStr">
        <is>
          <t>Kombolcha</t>
        </is>
      </c>
      <c r="K43" s="25" t="inlineStr">
        <is>
          <t>Bank</t>
        </is>
      </c>
      <c r="L43" s="29" t="n"/>
      <c r="M43" s="25" t="n"/>
      <c r="N43" s="30" t="n">
        <v>20000</v>
      </c>
      <c r="O43" s="31">
        <f>IF(N43="","",IF(G43="Revenue",ROUND(N43*VATRate,2),0))</f>
        <v/>
      </c>
      <c r="P43" s="31">
        <f>IF(N43="","",N43+O43)</f>
        <v/>
      </c>
    </row>
    <row r="44">
      <c r="A44" s="26" t="n">
        <v>46288</v>
      </c>
      <c r="B44" s="27">
        <f>IF(A44="","",IF(OR(A44&lt;MIN(Lists!$C$4:$C$15),A44&gt;MAX(Lists!$D$4:$D$15)),"No period",INDEX(Lists!$B$4:$B$15,MATCH(A44,Lists!$C$4:$C$15,1))))</f>
        <v/>
      </c>
      <c r="C44" s="28">
        <f>IF(B44="","",IFERROR(INDEX(Lists!$A$4:$A$15,MATCH(B44,Lists!$B$4:$B$15,0)),0))</f>
        <v/>
      </c>
      <c r="D44" s="25" t="inlineStr">
        <is>
          <t>PV-0310</t>
        </is>
      </c>
      <c r="E44" s="24" t="n">
        <v>6130</v>
      </c>
      <c r="F44" s="27">
        <f>IF(E44="","",IFERROR(INDEX(Lists!$H$4:$H$40,MATCH(E44,Lists!$F$4:$F$40,0)),"UNMAPPED"))</f>
        <v/>
      </c>
      <c r="G44" s="25" t="inlineStr">
        <is>
          <t>Expense</t>
        </is>
      </c>
      <c r="H44" s="25" t="inlineStr">
        <is>
          <t>General</t>
        </is>
      </c>
      <c r="I44" s="25" t="inlineStr">
        <is>
          <t>Stationery and printing</t>
        </is>
      </c>
      <c r="J44" s="25" t="inlineStr">
        <is>
          <t>Kombolcha</t>
        </is>
      </c>
      <c r="K44" s="25" t="inlineStr">
        <is>
          <t>Bank</t>
        </is>
      </c>
      <c r="L44" s="29" t="n"/>
      <c r="M44" s="25" t="n"/>
      <c r="N44" s="30" t="n">
        <v>25000</v>
      </c>
      <c r="O44" s="31">
        <f>IF(N44="","",IF(G44="Revenue",ROUND(N44*VATRate,2),0))</f>
        <v/>
      </c>
      <c r="P44" s="31">
        <f>IF(N44="","",N44+O44)</f>
        <v/>
      </c>
    </row>
    <row r="45">
      <c r="A45" s="26" t="n">
        <v>46305</v>
      </c>
      <c r="B45" s="27">
        <f>IF(A45="","",IF(OR(A45&lt;MIN(Lists!$C$4:$C$15),A45&gt;MAX(Lists!$D$4:$D$15)),"No period",INDEX(Lists!$B$4:$B$15,MATCH(A45,Lists!$C$4:$C$15,1))))</f>
        <v/>
      </c>
      <c r="C45" s="28">
        <f>IF(B45="","",IFERROR(INDEX(Lists!$A$4:$A$15,MATCH(B45,Lists!$B$4:$B$15,0)),0))</f>
        <v/>
      </c>
      <c r="D45" s="25" t="inlineStr">
        <is>
          <t>JV-0307</t>
        </is>
      </c>
      <c r="E45" s="24" t="n">
        <v>6130</v>
      </c>
      <c r="F45" s="27">
        <f>IF(E45="","",IFERROR(INDEX(Lists!$H$4:$H$40,MATCH(E45,Lists!$F$4:$F$40,0)),"UNMAPPED"))</f>
        <v/>
      </c>
      <c r="G45" s="25" t="inlineStr">
        <is>
          <t>Expense</t>
        </is>
      </c>
      <c r="H45" s="25" t="inlineStr">
        <is>
          <t>General</t>
        </is>
      </c>
      <c r="I45" s="25" t="inlineStr">
        <is>
          <t>Audit fee accrual (720,000 / 12)</t>
        </is>
      </c>
      <c r="J45" s="25" t="inlineStr">
        <is>
          <t>Kombolcha</t>
        </is>
      </c>
      <c r="K45" s="25" t="inlineStr">
        <is>
          <t>Non-cash</t>
        </is>
      </c>
      <c r="L45" s="29" t="n"/>
      <c r="M45" s="25" t="n"/>
      <c r="N45" s="30" t="n">
        <v>60000</v>
      </c>
      <c r="O45" s="31">
        <f>IF(N45="","",IF(G45="Revenue",ROUND(N45*VATRate,2),0))</f>
        <v/>
      </c>
      <c r="P45" s="31">
        <f>IF(N45="","",N45+O45)</f>
        <v/>
      </c>
    </row>
    <row r="46">
      <c r="A46" s="26" t="n">
        <v>46305</v>
      </c>
      <c r="B46" s="27">
        <f>IF(A46="","",IF(OR(A46&lt;MIN(Lists!$C$4:$C$15),A46&gt;MAX(Lists!$D$4:$D$15)),"No period",INDEX(Lists!$B$4:$B$15,MATCH(A46,Lists!$C$4:$C$15,1))))</f>
        <v/>
      </c>
      <c r="C46" s="28">
        <f>IF(B46="","",IFERROR(INDEX(Lists!$A$4:$A$15,MATCH(B46,Lists!$B$4:$B$15,0)),0))</f>
        <v/>
      </c>
      <c r="D46" s="25" t="inlineStr">
        <is>
          <t>BK-0301</t>
        </is>
      </c>
      <c r="E46" s="24" t="n">
        <v>6130</v>
      </c>
      <c r="F46" s="27">
        <f>IF(E46="","",IFERROR(INDEX(Lists!$H$4:$H$40,MATCH(E46,Lists!$F$4:$F$40,0)),"UNMAPPED"))</f>
        <v/>
      </c>
      <c r="G46" s="25" t="inlineStr">
        <is>
          <t>Expense</t>
        </is>
      </c>
      <c r="H46" s="25" t="inlineStr">
        <is>
          <t>General</t>
        </is>
      </c>
      <c r="I46" s="25" t="inlineStr">
        <is>
          <t>Bank charges</t>
        </is>
      </c>
      <c r="J46" s="25" t="inlineStr">
        <is>
          <t>Kombolcha</t>
        </is>
      </c>
      <c r="K46" s="25" t="inlineStr">
        <is>
          <t>Bank</t>
        </is>
      </c>
      <c r="L46" s="29" t="n"/>
      <c r="M46" s="25" t="n"/>
      <c r="N46" s="30" t="n">
        <v>15000</v>
      </c>
      <c r="O46" s="31">
        <f>IF(N46="","",IF(G46="Revenue",ROUND(N46*VATRate,2),0))</f>
        <v/>
      </c>
      <c r="P46" s="31">
        <f>IF(N46="","",N46+O46)</f>
        <v/>
      </c>
    </row>
    <row r="47">
      <c r="A47" s="26" t="n">
        <v>46291</v>
      </c>
      <c r="B47" s="27">
        <f>IF(A47="","",IF(OR(A47&lt;MIN(Lists!$C$4:$C$15),A47&gt;MAX(Lists!$D$4:$D$15)),"No period",INDEX(Lists!$B$4:$B$15,MATCH(A47,Lists!$C$4:$C$15,1))))</f>
        <v/>
      </c>
      <c r="C47" s="28">
        <f>IF(B47="","",IFERROR(INDEX(Lists!$A$4:$A$15,MATCH(B47,Lists!$B$4:$B$15,0)),0))</f>
        <v/>
      </c>
      <c r="D47" s="25" t="inlineStr">
        <is>
          <t>PV-0313</t>
        </is>
      </c>
      <c r="E47" s="24" t="n">
        <v>6130</v>
      </c>
      <c r="F47" s="27">
        <f>IF(E47="","",IFERROR(INDEX(Lists!$H$4:$H$40,MATCH(E47,Lists!$F$4:$F$40,0)),"UNMAPPED"))</f>
        <v/>
      </c>
      <c r="G47" s="25" t="inlineStr">
        <is>
          <t>Expense</t>
        </is>
      </c>
      <c r="H47" s="25" t="inlineStr">
        <is>
          <t>General</t>
        </is>
      </c>
      <c r="I47" s="25" t="inlineStr">
        <is>
          <t>Travel</t>
        </is>
      </c>
      <c r="J47" s="25" t="inlineStr">
        <is>
          <t>Kombolcha</t>
        </is>
      </c>
      <c r="K47" s="25" t="inlineStr">
        <is>
          <t>Bank</t>
        </is>
      </c>
      <c r="L47" s="29" t="n"/>
      <c r="M47" s="25" t="n"/>
      <c r="N47" s="30" t="n">
        <v>10000</v>
      </c>
      <c r="O47" s="31">
        <f>IF(N47="","",IF(G47="Revenue",ROUND(N47*VATRate,2),0))</f>
        <v/>
      </c>
      <c r="P47" s="31">
        <f>IF(N47="","",N47+O47)</f>
        <v/>
      </c>
    </row>
    <row r="48">
      <c r="A48" s="26" t="n">
        <v>46305</v>
      </c>
      <c r="B48" s="27">
        <f>IF(A48="","",IF(OR(A48&lt;MIN(Lists!$C$4:$C$15),A48&gt;MAX(Lists!$D$4:$D$15)),"No period",INDEX(Lists!$B$4:$B$15,MATCH(A48,Lists!$C$4:$C$15,1))))</f>
        <v/>
      </c>
      <c r="C48" s="28">
        <f>IF(B48="","",IFERROR(INDEX(Lists!$A$4:$A$15,MATCH(B48,Lists!$B$4:$B$15,0)),0))</f>
        <v/>
      </c>
      <c r="D48" s="25" t="inlineStr">
        <is>
          <t>JV-0305</t>
        </is>
      </c>
      <c r="E48" s="24" t="n">
        <v>6140</v>
      </c>
      <c r="F48" s="27">
        <f>IF(E48="","",IFERROR(INDEX(Lists!$H$4:$H$40,MATCH(E48,Lists!$F$4:$F$40,0)),"UNMAPPED"))</f>
        <v/>
      </c>
      <c r="G48" s="25" t="inlineStr">
        <is>
          <t>Expense</t>
        </is>
      </c>
      <c r="H48" s="25" t="inlineStr">
        <is>
          <t>General</t>
        </is>
      </c>
      <c r="I48" s="25" t="inlineStr">
        <is>
          <t>Depreciation: vehicles and office</t>
        </is>
      </c>
      <c r="J48" s="25" t="inlineStr">
        <is>
          <t>Kombolcha</t>
        </is>
      </c>
      <c r="K48" s="25" t="inlineStr">
        <is>
          <t>Non-cash</t>
        </is>
      </c>
      <c r="L48" s="29" t="n"/>
      <c r="M48" s="25" t="n"/>
      <c r="N48" s="30" t="n">
        <v>70000</v>
      </c>
      <c r="O48" s="31">
        <f>IF(N48="","",IF(G48="Revenue",ROUND(N48*VATRate,2),0))</f>
        <v/>
      </c>
      <c r="P48" s="31">
        <f>IF(N48="","",N48+O48)</f>
        <v/>
      </c>
    </row>
    <row r="49">
      <c r="A49" s="26" t="n">
        <v>46305</v>
      </c>
      <c r="B49" s="27">
        <f>IF(A49="","",IF(OR(A49&lt;MIN(Lists!$C$4:$C$15),A49&gt;MAX(Lists!$D$4:$D$15)),"No period",INDEX(Lists!$B$4:$B$15,MATCH(A49,Lists!$C$4:$C$15,1))))</f>
        <v/>
      </c>
      <c r="C49" s="28">
        <f>IF(B49="","",IFERROR(INDEX(Lists!$A$4:$A$15,MATCH(B49,Lists!$B$4:$B$15,0)),0))</f>
        <v/>
      </c>
      <c r="D49" s="25" t="inlineStr">
        <is>
          <t>JV-0308</t>
        </is>
      </c>
      <c r="E49" s="24" t="n">
        <v>6150</v>
      </c>
      <c r="F49" s="27">
        <f>IF(E49="","",IFERROR(INDEX(Lists!$H$4:$H$40,MATCH(E49,Lists!$F$4:$F$40,0)),"UNMAPPED"))</f>
        <v/>
      </c>
      <c r="G49" s="25" t="inlineStr">
        <is>
          <t>Expense</t>
        </is>
      </c>
      <c r="H49" s="25" t="inlineStr">
        <is>
          <t>General</t>
        </is>
      </c>
      <c r="I49" s="25" t="inlineStr">
        <is>
          <t>Allowance for doubtful receivables</t>
        </is>
      </c>
      <c r="J49" s="25" t="inlineStr">
        <is>
          <t>Kombolcha</t>
        </is>
      </c>
      <c r="K49" s="25" t="inlineStr">
        <is>
          <t>Non-cash</t>
        </is>
      </c>
      <c r="L49" s="29" t="n"/>
      <c r="M49" s="25" t="n"/>
      <c r="N49" s="30" t="n">
        <v>40000</v>
      </c>
      <c r="O49" s="31">
        <f>IF(N49="","",IF(G49="Revenue",ROUND(N49*VATRate,2),0))</f>
        <v/>
      </c>
      <c r="P49" s="31">
        <f>IF(N49="","",N49+O49)</f>
        <v/>
      </c>
    </row>
    <row r="50">
      <c r="A50" s="26" t="n">
        <v>46305</v>
      </c>
      <c r="B50" s="27">
        <f>IF(A50="","",IF(OR(A50&lt;MIN(Lists!$C$4:$C$15),A50&gt;MAX(Lists!$D$4:$D$15)),"No period",INDEX(Lists!$B$4:$B$15,MATCH(A50,Lists!$C$4:$C$15,1))))</f>
        <v/>
      </c>
      <c r="C50" s="28">
        <f>IF(B50="","",IFERROR(INDEX(Lists!$A$4:$A$15,MATCH(B50,Lists!$B$4:$B$15,0)),0))</f>
        <v/>
      </c>
      <c r="D50" s="25" t="inlineStr">
        <is>
          <t>BK-0302</t>
        </is>
      </c>
      <c r="E50" s="24" t="n">
        <v>7010</v>
      </c>
      <c r="F50" s="27">
        <f>IF(E50="","",IFERROR(INDEX(Lists!$H$4:$H$40,MATCH(E50,Lists!$F$4:$F$40,0)),"UNMAPPED"))</f>
        <v/>
      </c>
      <c r="G50" s="25" t="inlineStr">
        <is>
          <t>Expense</t>
        </is>
      </c>
      <c r="H50" s="25" t="inlineStr">
        <is>
          <t>General</t>
        </is>
      </c>
      <c r="I50" s="25" t="inlineStr">
        <is>
          <t>Bank A term loan interest</t>
        </is>
      </c>
      <c r="J50" s="25" t="inlineStr">
        <is>
          <t>Kombolcha</t>
        </is>
      </c>
      <c r="K50" s="25" t="inlineStr">
        <is>
          <t>Bank</t>
        </is>
      </c>
      <c r="L50" s="29" t="n"/>
      <c r="M50" s="25" t="n"/>
      <c r="N50" s="30" t="n">
        <v>120000</v>
      </c>
      <c r="O50" s="31">
        <f>IF(N50="","",IF(G50="Revenue",ROUND(N50*VATRate,2),0))</f>
        <v/>
      </c>
      <c r="P50" s="31">
        <f>IF(N50="","",N50+O50)</f>
        <v/>
      </c>
    </row>
    <row r="51">
      <c r="A51" s="26" t="n">
        <v>46305</v>
      </c>
      <c r="B51" s="27">
        <f>IF(A51="","",IF(OR(A51&lt;MIN(Lists!$C$4:$C$15),A51&gt;MAX(Lists!$D$4:$D$15)),"No period",INDEX(Lists!$B$4:$B$15,MATCH(A51,Lists!$C$4:$C$15,1))))</f>
        <v/>
      </c>
      <c r="C51" s="28">
        <f>IF(B51="","",IFERROR(INDEX(Lists!$A$4:$A$15,MATCH(B51,Lists!$B$4:$B$15,0)),0))</f>
        <v/>
      </c>
      <c r="D51" s="25" t="inlineStr">
        <is>
          <t>BK-0303</t>
        </is>
      </c>
      <c r="E51" s="24" t="n">
        <v>7020</v>
      </c>
      <c r="F51" s="27">
        <f>IF(E51="","",IFERROR(INDEX(Lists!$H$4:$H$40,MATCH(E51,Lists!$F$4:$F$40,0)),"UNMAPPED"))</f>
        <v/>
      </c>
      <c r="G51" s="25" t="inlineStr">
        <is>
          <t>Expense</t>
        </is>
      </c>
      <c r="H51" s="25" t="inlineStr">
        <is>
          <t>General</t>
        </is>
      </c>
      <c r="I51" s="25" t="inlineStr">
        <is>
          <t>Bank A overdraft interest</t>
        </is>
      </c>
      <c r="J51" s="25" t="inlineStr">
        <is>
          <t>Kombolcha</t>
        </is>
      </c>
      <c r="K51" s="25" t="inlineStr">
        <is>
          <t>Bank</t>
        </is>
      </c>
      <c r="L51" s="29" t="n"/>
      <c r="M51" s="25" t="n"/>
      <c r="N51" s="30" t="n">
        <v>60000</v>
      </c>
      <c r="O51" s="31">
        <f>IF(N51="","",IF(G51="Revenue",ROUND(N51*VATRate,2),0))</f>
        <v/>
      </c>
      <c r="P51" s="31">
        <f>IF(N51="","",N51+O51)</f>
        <v/>
      </c>
    </row>
    <row r="52">
      <c r="A52" s="26" t="n">
        <v>46305</v>
      </c>
      <c r="B52" s="27">
        <f>IF(A52="","",IF(OR(A52&lt;MIN(Lists!$C$4:$C$15),A52&gt;MAX(Lists!$D$4:$D$15)),"No period",INDEX(Lists!$B$4:$B$15,MATCH(A52,Lists!$C$4:$C$15,1))))</f>
        <v/>
      </c>
      <c r="C52" s="28">
        <f>IF(B52="","",IFERROR(INDEX(Lists!$A$4:$A$15,MATCH(B52,Lists!$B$4:$B$15,0)),0))</f>
        <v/>
      </c>
      <c r="D52" s="25" t="inlineStr">
        <is>
          <t>JV-0309</t>
        </is>
      </c>
      <c r="E52" s="24" t="n">
        <v>8010</v>
      </c>
      <c r="F52" s="27">
        <f>IF(E52="","",IFERROR(INDEX(Lists!$H$4:$H$40,MATCH(E52,Lists!$F$4:$F$40,0)),"UNMAPPED"))</f>
        <v/>
      </c>
      <c r="G52" s="25" t="inlineStr">
        <is>
          <t>Expense</t>
        </is>
      </c>
      <c r="H52" s="25" t="inlineStr">
        <is>
          <t>General</t>
        </is>
      </c>
      <c r="I52" s="25" t="inlineStr">
        <is>
          <t>Income tax accrual (higher of 30% of PBT and 2.5% of turnover)</t>
        </is>
      </c>
      <c r="J52" s="25" t="inlineStr">
        <is>
          <t>Kombolcha</t>
        </is>
      </c>
      <c r="K52" s="25" t="inlineStr">
        <is>
          <t>Non-cash</t>
        </is>
      </c>
      <c r="L52" s="29" t="n"/>
      <c r="M52" s="25" t="n"/>
      <c r="N52" s="30" t="n">
        <v>205000</v>
      </c>
      <c r="O52" s="31">
        <f>IF(N52="","",IF(G52="Revenue",ROUND(N52*VATRate,2),0))</f>
        <v/>
      </c>
      <c r="P52" s="31">
        <f>IF(N52="","",N52+O52)</f>
        <v/>
      </c>
    </row>
    <row r="53">
      <c r="A53" s="26" t="n"/>
      <c r="B53" s="27">
        <f>IF(A53="","",IF(OR(A53&lt;MIN(Lists!$C$4:$C$15),A53&gt;MAX(Lists!$D$4:$D$15)),"No period",INDEX(Lists!$B$4:$B$15,MATCH(A53,Lists!$C$4:$C$15,1))))</f>
        <v/>
      </c>
      <c r="C53" s="28">
        <f>IF(B53="","",IFERROR(INDEX(Lists!$A$4:$A$15,MATCH(B53,Lists!$B$4:$B$15,0)),0))</f>
        <v/>
      </c>
      <c r="D53" s="25" t="n"/>
      <c r="E53" s="24" t="n"/>
      <c r="F53" s="27">
        <f>IF(E53="","",IFERROR(INDEX(Lists!$H$4:$H$40,MATCH(E53,Lists!$F$4:$F$40,0)),"UNMAPPED"))</f>
        <v/>
      </c>
      <c r="G53" s="25" t="n"/>
      <c r="H53" s="25" t="n"/>
      <c r="I53" s="25" t="n"/>
      <c r="J53" s="25" t="n"/>
      <c r="K53" s="25" t="n"/>
      <c r="L53" s="29" t="n"/>
      <c r="M53" s="25" t="n"/>
      <c r="N53" s="30" t="n"/>
      <c r="O53" s="31">
        <f>IF(N53="","",IF(G53="Revenue",ROUND(N53*VATRate,2),0))</f>
        <v/>
      </c>
      <c r="P53" s="31">
        <f>IF(N53="","",N53+O53)</f>
        <v/>
      </c>
    </row>
    <row r="54">
      <c r="A54" s="26" t="n"/>
      <c r="B54" s="27">
        <f>IF(A54="","",IF(OR(A54&lt;MIN(Lists!$C$4:$C$15),A54&gt;MAX(Lists!$D$4:$D$15)),"No period",INDEX(Lists!$B$4:$B$15,MATCH(A54,Lists!$C$4:$C$15,1))))</f>
        <v/>
      </c>
      <c r="C54" s="28">
        <f>IF(B54="","",IFERROR(INDEX(Lists!$A$4:$A$15,MATCH(B54,Lists!$B$4:$B$15,0)),0))</f>
        <v/>
      </c>
      <c r="D54" s="25" t="n"/>
      <c r="E54" s="24" t="n"/>
      <c r="F54" s="27">
        <f>IF(E54="","",IFERROR(INDEX(Lists!$H$4:$H$40,MATCH(E54,Lists!$F$4:$F$40,0)),"UNMAPPED"))</f>
        <v/>
      </c>
      <c r="G54" s="25" t="n"/>
      <c r="H54" s="25" t="n"/>
      <c r="I54" s="25" t="n"/>
      <c r="J54" s="25" t="n"/>
      <c r="K54" s="25" t="n"/>
      <c r="L54" s="29" t="n"/>
      <c r="M54" s="25" t="n"/>
      <c r="N54" s="30" t="n"/>
      <c r="O54" s="31">
        <f>IF(N54="","",IF(G54="Revenue",ROUND(N54*VATRate,2),0))</f>
        <v/>
      </c>
      <c r="P54" s="31">
        <f>IF(N54="","",N54+O54)</f>
        <v/>
      </c>
    </row>
    <row r="55">
      <c r="A55" s="26" t="n"/>
      <c r="B55" s="27">
        <f>IF(A55="","",IF(OR(A55&lt;MIN(Lists!$C$4:$C$15),A55&gt;MAX(Lists!$D$4:$D$15)),"No period",INDEX(Lists!$B$4:$B$15,MATCH(A55,Lists!$C$4:$C$15,1))))</f>
        <v/>
      </c>
      <c r="C55" s="28">
        <f>IF(B55="","",IFERROR(INDEX(Lists!$A$4:$A$15,MATCH(B55,Lists!$B$4:$B$15,0)),0))</f>
        <v/>
      </c>
      <c r="D55" s="25" t="n"/>
      <c r="E55" s="24" t="n"/>
      <c r="F55" s="27">
        <f>IF(E55="","",IFERROR(INDEX(Lists!$H$4:$H$40,MATCH(E55,Lists!$F$4:$F$40,0)),"UNMAPPED"))</f>
        <v/>
      </c>
      <c r="G55" s="25" t="n"/>
      <c r="H55" s="25" t="n"/>
      <c r="I55" s="25" t="n"/>
      <c r="J55" s="25" t="n"/>
      <c r="K55" s="25" t="n"/>
      <c r="L55" s="29" t="n"/>
      <c r="M55" s="25" t="n"/>
      <c r="N55" s="30" t="n"/>
      <c r="O55" s="31">
        <f>IF(N55="","",IF(G55="Revenue",ROUND(N55*VATRate,2),0))</f>
        <v/>
      </c>
      <c r="P55" s="31">
        <f>IF(N55="","",N55+O55)</f>
        <v/>
      </c>
    </row>
    <row r="56">
      <c r="A56" s="26" t="n"/>
      <c r="B56" s="27">
        <f>IF(A56="","",IF(OR(A56&lt;MIN(Lists!$C$4:$C$15),A56&gt;MAX(Lists!$D$4:$D$15)),"No period",INDEX(Lists!$B$4:$B$15,MATCH(A56,Lists!$C$4:$C$15,1))))</f>
        <v/>
      </c>
      <c r="C56" s="28">
        <f>IF(B56="","",IFERROR(INDEX(Lists!$A$4:$A$15,MATCH(B56,Lists!$B$4:$B$15,0)),0))</f>
        <v/>
      </c>
      <c r="D56" s="25" t="n"/>
      <c r="E56" s="24" t="n"/>
      <c r="F56" s="27">
        <f>IF(E56="","",IFERROR(INDEX(Lists!$H$4:$H$40,MATCH(E56,Lists!$F$4:$F$40,0)),"UNMAPPED"))</f>
        <v/>
      </c>
      <c r="G56" s="25" t="n"/>
      <c r="H56" s="25" t="n"/>
      <c r="I56" s="25" t="n"/>
      <c r="J56" s="25" t="n"/>
      <c r="K56" s="25" t="n"/>
      <c r="L56" s="29" t="n"/>
      <c r="M56" s="25" t="n"/>
      <c r="N56" s="30" t="n"/>
      <c r="O56" s="31">
        <f>IF(N56="","",IF(G56="Revenue",ROUND(N56*VATRate,2),0))</f>
        <v/>
      </c>
      <c r="P56" s="31">
        <f>IF(N56="","",N56+O56)</f>
        <v/>
      </c>
    </row>
    <row r="57">
      <c r="A57" s="26" t="n"/>
      <c r="B57" s="27">
        <f>IF(A57="","",IF(OR(A57&lt;MIN(Lists!$C$4:$C$15),A57&gt;MAX(Lists!$D$4:$D$15)),"No period",INDEX(Lists!$B$4:$B$15,MATCH(A57,Lists!$C$4:$C$15,1))))</f>
        <v/>
      </c>
      <c r="C57" s="28">
        <f>IF(B57="","",IFERROR(INDEX(Lists!$A$4:$A$15,MATCH(B57,Lists!$B$4:$B$15,0)),0))</f>
        <v/>
      </c>
      <c r="D57" s="25" t="n"/>
      <c r="E57" s="24" t="n"/>
      <c r="F57" s="27">
        <f>IF(E57="","",IFERROR(INDEX(Lists!$H$4:$H$40,MATCH(E57,Lists!$F$4:$F$40,0)),"UNMAPPED"))</f>
        <v/>
      </c>
      <c r="G57" s="25" t="n"/>
      <c r="H57" s="25" t="n"/>
      <c r="I57" s="25" t="n"/>
      <c r="J57" s="25" t="n"/>
      <c r="K57" s="25" t="n"/>
      <c r="L57" s="29" t="n"/>
      <c r="M57" s="25" t="n"/>
      <c r="N57" s="30" t="n"/>
      <c r="O57" s="31">
        <f>IF(N57="","",IF(G57="Revenue",ROUND(N57*VATRate,2),0))</f>
        <v/>
      </c>
      <c r="P57" s="31">
        <f>IF(N57="","",N57+O57)</f>
        <v/>
      </c>
    </row>
    <row r="58">
      <c r="A58" s="26" t="n"/>
      <c r="B58" s="27">
        <f>IF(A58="","",IF(OR(A58&lt;MIN(Lists!$C$4:$C$15),A58&gt;MAX(Lists!$D$4:$D$15)),"No period",INDEX(Lists!$B$4:$B$15,MATCH(A58,Lists!$C$4:$C$15,1))))</f>
        <v/>
      </c>
      <c r="C58" s="28">
        <f>IF(B58="","",IFERROR(INDEX(Lists!$A$4:$A$15,MATCH(B58,Lists!$B$4:$B$15,0)),0))</f>
        <v/>
      </c>
      <c r="D58" s="25" t="n"/>
      <c r="E58" s="24" t="n"/>
      <c r="F58" s="27">
        <f>IF(E58="","",IFERROR(INDEX(Lists!$H$4:$H$40,MATCH(E58,Lists!$F$4:$F$40,0)),"UNMAPPED"))</f>
        <v/>
      </c>
      <c r="G58" s="25" t="n"/>
      <c r="H58" s="25" t="n"/>
      <c r="I58" s="25" t="n"/>
      <c r="J58" s="25" t="n"/>
      <c r="K58" s="25" t="n"/>
      <c r="L58" s="29" t="n"/>
      <c r="M58" s="25" t="n"/>
      <c r="N58" s="30" t="n"/>
      <c r="O58" s="31">
        <f>IF(N58="","",IF(G58="Revenue",ROUND(N58*VATRate,2),0))</f>
        <v/>
      </c>
      <c r="P58" s="31">
        <f>IF(N58="","",N58+O58)</f>
        <v/>
      </c>
    </row>
    <row r="59">
      <c r="A59" s="26" t="n"/>
      <c r="B59" s="27">
        <f>IF(A59="","",IF(OR(A59&lt;MIN(Lists!$C$4:$C$15),A59&gt;MAX(Lists!$D$4:$D$15)),"No period",INDEX(Lists!$B$4:$B$15,MATCH(A59,Lists!$C$4:$C$15,1))))</f>
        <v/>
      </c>
      <c r="C59" s="28">
        <f>IF(B59="","",IFERROR(INDEX(Lists!$A$4:$A$15,MATCH(B59,Lists!$B$4:$B$15,0)),0))</f>
        <v/>
      </c>
      <c r="D59" s="25" t="n"/>
      <c r="E59" s="24" t="n"/>
      <c r="F59" s="27">
        <f>IF(E59="","",IFERROR(INDEX(Lists!$H$4:$H$40,MATCH(E59,Lists!$F$4:$F$40,0)),"UNMAPPED"))</f>
        <v/>
      </c>
      <c r="G59" s="25" t="n"/>
      <c r="H59" s="25" t="n"/>
      <c r="I59" s="25" t="n"/>
      <c r="J59" s="25" t="n"/>
      <c r="K59" s="25" t="n"/>
      <c r="L59" s="29" t="n"/>
      <c r="M59" s="25" t="n"/>
      <c r="N59" s="30" t="n"/>
      <c r="O59" s="31">
        <f>IF(N59="","",IF(G59="Revenue",ROUND(N59*VATRate,2),0))</f>
        <v/>
      </c>
      <c r="P59" s="31">
        <f>IF(N59="","",N59+O59)</f>
        <v/>
      </c>
    </row>
    <row r="60">
      <c r="A60" s="26" t="n"/>
      <c r="B60" s="27">
        <f>IF(A60="","",IF(OR(A60&lt;MIN(Lists!$C$4:$C$15),A60&gt;MAX(Lists!$D$4:$D$15)),"No period",INDEX(Lists!$B$4:$B$15,MATCH(A60,Lists!$C$4:$C$15,1))))</f>
        <v/>
      </c>
      <c r="C60" s="28">
        <f>IF(B60="","",IFERROR(INDEX(Lists!$A$4:$A$15,MATCH(B60,Lists!$B$4:$B$15,0)),0))</f>
        <v/>
      </c>
      <c r="D60" s="25" t="n"/>
      <c r="E60" s="24" t="n"/>
      <c r="F60" s="27">
        <f>IF(E60="","",IFERROR(INDEX(Lists!$H$4:$H$40,MATCH(E60,Lists!$F$4:$F$40,0)),"UNMAPPED"))</f>
        <v/>
      </c>
      <c r="G60" s="25" t="n"/>
      <c r="H60" s="25" t="n"/>
      <c r="I60" s="25" t="n"/>
      <c r="J60" s="25" t="n"/>
      <c r="K60" s="25" t="n"/>
      <c r="L60" s="29" t="n"/>
      <c r="M60" s="25" t="n"/>
      <c r="N60" s="30" t="n"/>
      <c r="O60" s="31">
        <f>IF(N60="","",IF(G60="Revenue",ROUND(N60*VATRate,2),0))</f>
        <v/>
      </c>
      <c r="P60" s="31">
        <f>IF(N60="","",N60+O60)</f>
        <v/>
      </c>
    </row>
    <row r="61">
      <c r="A61" s="26" t="n"/>
      <c r="B61" s="27">
        <f>IF(A61="","",IF(OR(A61&lt;MIN(Lists!$C$4:$C$15),A61&gt;MAX(Lists!$D$4:$D$15)),"No period",INDEX(Lists!$B$4:$B$15,MATCH(A61,Lists!$C$4:$C$15,1))))</f>
        <v/>
      </c>
      <c r="C61" s="28">
        <f>IF(B61="","",IFERROR(INDEX(Lists!$A$4:$A$15,MATCH(B61,Lists!$B$4:$B$15,0)),0))</f>
        <v/>
      </c>
      <c r="D61" s="25" t="n"/>
      <c r="E61" s="24" t="n"/>
      <c r="F61" s="27">
        <f>IF(E61="","",IFERROR(INDEX(Lists!$H$4:$H$40,MATCH(E61,Lists!$F$4:$F$40,0)),"UNMAPPED"))</f>
        <v/>
      </c>
      <c r="G61" s="25" t="n"/>
      <c r="H61" s="25" t="n"/>
      <c r="I61" s="25" t="n"/>
      <c r="J61" s="25" t="n"/>
      <c r="K61" s="25" t="n"/>
      <c r="L61" s="29" t="n"/>
      <c r="M61" s="25" t="n"/>
      <c r="N61" s="30" t="n"/>
      <c r="O61" s="31">
        <f>IF(N61="","",IF(G61="Revenue",ROUND(N61*VATRate,2),0))</f>
        <v/>
      </c>
      <c r="P61" s="31">
        <f>IF(N61="","",N61+O61)</f>
        <v/>
      </c>
    </row>
    <row r="62">
      <c r="A62" s="26" t="n"/>
      <c r="B62" s="27">
        <f>IF(A62="","",IF(OR(A62&lt;MIN(Lists!$C$4:$C$15),A62&gt;MAX(Lists!$D$4:$D$15)),"No period",INDEX(Lists!$B$4:$B$15,MATCH(A62,Lists!$C$4:$C$15,1))))</f>
        <v/>
      </c>
      <c r="C62" s="28">
        <f>IF(B62="","",IFERROR(INDEX(Lists!$A$4:$A$15,MATCH(B62,Lists!$B$4:$B$15,0)),0))</f>
        <v/>
      </c>
      <c r="D62" s="25" t="n"/>
      <c r="E62" s="24" t="n"/>
      <c r="F62" s="27">
        <f>IF(E62="","",IFERROR(INDEX(Lists!$H$4:$H$40,MATCH(E62,Lists!$F$4:$F$40,0)),"UNMAPPED"))</f>
        <v/>
      </c>
      <c r="G62" s="25" t="n"/>
      <c r="H62" s="25" t="n"/>
      <c r="I62" s="25" t="n"/>
      <c r="J62" s="25" t="n"/>
      <c r="K62" s="25" t="n"/>
      <c r="L62" s="29" t="n"/>
      <c r="M62" s="25" t="n"/>
      <c r="N62" s="30" t="n"/>
      <c r="O62" s="31">
        <f>IF(N62="","",IF(G62="Revenue",ROUND(N62*VATRate,2),0))</f>
        <v/>
      </c>
      <c r="P62" s="31">
        <f>IF(N62="","",N62+O62)</f>
        <v/>
      </c>
    </row>
    <row r="63">
      <c r="A63" s="26" t="n"/>
      <c r="B63" s="27">
        <f>IF(A63="","",IF(OR(A63&lt;MIN(Lists!$C$4:$C$15),A63&gt;MAX(Lists!$D$4:$D$15)),"No period",INDEX(Lists!$B$4:$B$15,MATCH(A63,Lists!$C$4:$C$15,1))))</f>
        <v/>
      </c>
      <c r="C63" s="28">
        <f>IF(B63="","",IFERROR(INDEX(Lists!$A$4:$A$15,MATCH(B63,Lists!$B$4:$B$15,0)),0))</f>
        <v/>
      </c>
      <c r="D63" s="25" t="n"/>
      <c r="E63" s="24" t="n"/>
      <c r="F63" s="27">
        <f>IF(E63="","",IFERROR(INDEX(Lists!$H$4:$H$40,MATCH(E63,Lists!$F$4:$F$40,0)),"UNMAPPED"))</f>
        <v/>
      </c>
      <c r="G63" s="25" t="n"/>
      <c r="H63" s="25" t="n"/>
      <c r="I63" s="25" t="n"/>
      <c r="J63" s="25" t="n"/>
      <c r="K63" s="25" t="n"/>
      <c r="L63" s="29" t="n"/>
      <c r="M63" s="25" t="n"/>
      <c r="N63" s="30" t="n"/>
      <c r="O63" s="31">
        <f>IF(N63="","",IF(G63="Revenue",ROUND(N63*VATRate,2),0))</f>
        <v/>
      </c>
      <c r="P63" s="31">
        <f>IF(N63="","",N63+O63)</f>
        <v/>
      </c>
    </row>
    <row r="64">
      <c r="A64" s="26" t="n"/>
      <c r="B64" s="27">
        <f>IF(A64="","",IF(OR(A64&lt;MIN(Lists!$C$4:$C$15),A64&gt;MAX(Lists!$D$4:$D$15)),"No period",INDEX(Lists!$B$4:$B$15,MATCH(A64,Lists!$C$4:$C$15,1))))</f>
        <v/>
      </c>
      <c r="C64" s="28">
        <f>IF(B64="","",IFERROR(INDEX(Lists!$A$4:$A$15,MATCH(B64,Lists!$B$4:$B$15,0)),0))</f>
        <v/>
      </c>
      <c r="D64" s="25" t="n"/>
      <c r="E64" s="24" t="n"/>
      <c r="F64" s="27">
        <f>IF(E64="","",IFERROR(INDEX(Lists!$H$4:$H$40,MATCH(E64,Lists!$F$4:$F$40,0)),"UNMAPPED"))</f>
        <v/>
      </c>
      <c r="G64" s="25" t="n"/>
      <c r="H64" s="25" t="n"/>
      <c r="I64" s="25" t="n"/>
      <c r="J64" s="25" t="n"/>
      <c r="K64" s="25" t="n"/>
      <c r="L64" s="29" t="n"/>
      <c r="M64" s="25" t="n"/>
      <c r="N64" s="30" t="n"/>
      <c r="O64" s="31">
        <f>IF(N64="","",IF(G64="Revenue",ROUND(N64*VATRate,2),0))</f>
        <v/>
      </c>
      <c r="P64" s="31">
        <f>IF(N64="","",N64+O64)</f>
        <v/>
      </c>
    </row>
    <row r="65">
      <c r="A65" s="26" t="n"/>
      <c r="B65" s="27">
        <f>IF(A65="","",IF(OR(A65&lt;MIN(Lists!$C$4:$C$15),A65&gt;MAX(Lists!$D$4:$D$15)),"No period",INDEX(Lists!$B$4:$B$15,MATCH(A65,Lists!$C$4:$C$15,1))))</f>
        <v/>
      </c>
      <c r="C65" s="28">
        <f>IF(B65="","",IFERROR(INDEX(Lists!$A$4:$A$15,MATCH(B65,Lists!$B$4:$B$15,0)),0))</f>
        <v/>
      </c>
      <c r="D65" s="25" t="n"/>
      <c r="E65" s="24" t="n"/>
      <c r="F65" s="27">
        <f>IF(E65="","",IFERROR(INDEX(Lists!$H$4:$H$40,MATCH(E65,Lists!$F$4:$F$40,0)),"UNMAPPED"))</f>
        <v/>
      </c>
      <c r="G65" s="25" t="n"/>
      <c r="H65" s="25" t="n"/>
      <c r="I65" s="25" t="n"/>
      <c r="J65" s="25" t="n"/>
      <c r="K65" s="25" t="n"/>
      <c r="L65" s="29" t="n"/>
      <c r="M65" s="25" t="n"/>
      <c r="N65" s="30" t="n"/>
      <c r="O65" s="31">
        <f>IF(N65="","",IF(G65="Revenue",ROUND(N65*VATRate,2),0))</f>
        <v/>
      </c>
      <c r="P65" s="31">
        <f>IF(N65="","",N65+O65)</f>
        <v/>
      </c>
    </row>
    <row r="66">
      <c r="A66" s="26" t="n"/>
      <c r="B66" s="27">
        <f>IF(A66="","",IF(OR(A66&lt;MIN(Lists!$C$4:$C$15),A66&gt;MAX(Lists!$D$4:$D$15)),"No period",INDEX(Lists!$B$4:$B$15,MATCH(A66,Lists!$C$4:$C$15,1))))</f>
        <v/>
      </c>
      <c r="C66" s="28">
        <f>IF(B66="","",IFERROR(INDEX(Lists!$A$4:$A$15,MATCH(B66,Lists!$B$4:$B$15,0)),0))</f>
        <v/>
      </c>
      <c r="D66" s="25" t="n"/>
      <c r="E66" s="24" t="n"/>
      <c r="F66" s="27">
        <f>IF(E66="","",IFERROR(INDEX(Lists!$H$4:$H$40,MATCH(E66,Lists!$F$4:$F$40,0)),"UNMAPPED"))</f>
        <v/>
      </c>
      <c r="G66" s="25" t="n"/>
      <c r="H66" s="25" t="n"/>
      <c r="I66" s="25" t="n"/>
      <c r="J66" s="25" t="n"/>
      <c r="K66" s="25" t="n"/>
      <c r="L66" s="29" t="n"/>
      <c r="M66" s="25" t="n"/>
      <c r="N66" s="30" t="n"/>
      <c r="O66" s="31">
        <f>IF(N66="","",IF(G66="Revenue",ROUND(N66*VATRate,2),0))</f>
        <v/>
      </c>
      <c r="P66" s="31">
        <f>IF(N66="","",N66+O66)</f>
        <v/>
      </c>
    </row>
    <row r="67">
      <c r="A67" s="26" t="n"/>
      <c r="B67" s="27">
        <f>IF(A67="","",IF(OR(A67&lt;MIN(Lists!$C$4:$C$15),A67&gt;MAX(Lists!$D$4:$D$15)),"No period",INDEX(Lists!$B$4:$B$15,MATCH(A67,Lists!$C$4:$C$15,1))))</f>
        <v/>
      </c>
      <c r="C67" s="28">
        <f>IF(B67="","",IFERROR(INDEX(Lists!$A$4:$A$15,MATCH(B67,Lists!$B$4:$B$15,0)),0))</f>
        <v/>
      </c>
      <c r="D67" s="25" t="n"/>
      <c r="E67" s="24" t="n"/>
      <c r="F67" s="27">
        <f>IF(E67="","",IFERROR(INDEX(Lists!$H$4:$H$40,MATCH(E67,Lists!$F$4:$F$40,0)),"UNMAPPED"))</f>
        <v/>
      </c>
      <c r="G67" s="25" t="n"/>
      <c r="H67" s="25" t="n"/>
      <c r="I67" s="25" t="n"/>
      <c r="J67" s="25" t="n"/>
      <c r="K67" s="25" t="n"/>
      <c r="L67" s="29" t="n"/>
      <c r="M67" s="25" t="n"/>
      <c r="N67" s="30" t="n"/>
      <c r="O67" s="31">
        <f>IF(N67="","",IF(G67="Revenue",ROUND(N67*VATRate,2),0))</f>
        <v/>
      </c>
      <c r="P67" s="31">
        <f>IF(N67="","",N67+O67)</f>
        <v/>
      </c>
    </row>
    <row r="68">
      <c r="A68" s="26" t="n"/>
      <c r="B68" s="27">
        <f>IF(A68="","",IF(OR(A68&lt;MIN(Lists!$C$4:$C$15),A68&gt;MAX(Lists!$D$4:$D$15)),"No period",INDEX(Lists!$B$4:$B$15,MATCH(A68,Lists!$C$4:$C$15,1))))</f>
        <v/>
      </c>
      <c r="C68" s="28">
        <f>IF(B68="","",IFERROR(INDEX(Lists!$A$4:$A$15,MATCH(B68,Lists!$B$4:$B$15,0)),0))</f>
        <v/>
      </c>
      <c r="D68" s="25" t="n"/>
      <c r="E68" s="24" t="n"/>
      <c r="F68" s="27">
        <f>IF(E68="","",IFERROR(INDEX(Lists!$H$4:$H$40,MATCH(E68,Lists!$F$4:$F$40,0)),"UNMAPPED"))</f>
        <v/>
      </c>
      <c r="G68" s="25" t="n"/>
      <c r="H68" s="25" t="n"/>
      <c r="I68" s="25" t="n"/>
      <c r="J68" s="25" t="n"/>
      <c r="K68" s="25" t="n"/>
      <c r="L68" s="29" t="n"/>
      <c r="M68" s="25" t="n"/>
      <c r="N68" s="30" t="n"/>
      <c r="O68" s="31">
        <f>IF(N68="","",IF(G68="Revenue",ROUND(N68*VATRate,2),0))</f>
        <v/>
      </c>
      <c r="P68" s="31">
        <f>IF(N68="","",N68+O68)</f>
        <v/>
      </c>
    </row>
    <row r="69">
      <c r="A69" s="26" t="n"/>
      <c r="B69" s="27">
        <f>IF(A69="","",IF(OR(A69&lt;MIN(Lists!$C$4:$C$15),A69&gt;MAX(Lists!$D$4:$D$15)),"No period",INDEX(Lists!$B$4:$B$15,MATCH(A69,Lists!$C$4:$C$15,1))))</f>
        <v/>
      </c>
      <c r="C69" s="28">
        <f>IF(B69="","",IFERROR(INDEX(Lists!$A$4:$A$15,MATCH(B69,Lists!$B$4:$B$15,0)),0))</f>
        <v/>
      </c>
      <c r="D69" s="25" t="n"/>
      <c r="E69" s="24" t="n"/>
      <c r="F69" s="27">
        <f>IF(E69="","",IFERROR(INDEX(Lists!$H$4:$H$40,MATCH(E69,Lists!$F$4:$F$40,0)),"UNMAPPED"))</f>
        <v/>
      </c>
      <c r="G69" s="25" t="n"/>
      <c r="H69" s="25" t="n"/>
      <c r="I69" s="25" t="n"/>
      <c r="J69" s="25" t="n"/>
      <c r="K69" s="25" t="n"/>
      <c r="L69" s="29" t="n"/>
      <c r="M69" s="25" t="n"/>
      <c r="N69" s="30" t="n"/>
      <c r="O69" s="31">
        <f>IF(N69="","",IF(G69="Revenue",ROUND(N69*VATRate,2),0))</f>
        <v/>
      </c>
      <c r="P69" s="31">
        <f>IF(N69="","",N69+O69)</f>
        <v/>
      </c>
    </row>
    <row r="70">
      <c r="A70" s="26" t="n"/>
      <c r="B70" s="27">
        <f>IF(A70="","",IF(OR(A70&lt;MIN(Lists!$C$4:$C$15),A70&gt;MAX(Lists!$D$4:$D$15)),"No period",INDEX(Lists!$B$4:$B$15,MATCH(A70,Lists!$C$4:$C$15,1))))</f>
        <v/>
      </c>
      <c r="C70" s="28">
        <f>IF(B70="","",IFERROR(INDEX(Lists!$A$4:$A$15,MATCH(B70,Lists!$B$4:$B$15,0)),0))</f>
        <v/>
      </c>
      <c r="D70" s="25" t="n"/>
      <c r="E70" s="24" t="n"/>
      <c r="F70" s="27">
        <f>IF(E70="","",IFERROR(INDEX(Lists!$H$4:$H$40,MATCH(E70,Lists!$F$4:$F$40,0)),"UNMAPPED"))</f>
        <v/>
      </c>
      <c r="G70" s="25" t="n"/>
      <c r="H70" s="25" t="n"/>
      <c r="I70" s="25" t="n"/>
      <c r="J70" s="25" t="n"/>
      <c r="K70" s="25" t="n"/>
      <c r="L70" s="29" t="n"/>
      <c r="M70" s="25" t="n"/>
      <c r="N70" s="30" t="n"/>
      <c r="O70" s="31">
        <f>IF(N70="","",IF(G70="Revenue",ROUND(N70*VATRate,2),0))</f>
        <v/>
      </c>
      <c r="P70" s="31">
        <f>IF(N70="","",N70+O70)</f>
        <v/>
      </c>
    </row>
    <row r="71">
      <c r="A71" s="26" t="n"/>
      <c r="B71" s="27">
        <f>IF(A71="","",IF(OR(A71&lt;MIN(Lists!$C$4:$C$15),A71&gt;MAX(Lists!$D$4:$D$15)),"No period",INDEX(Lists!$B$4:$B$15,MATCH(A71,Lists!$C$4:$C$15,1))))</f>
        <v/>
      </c>
      <c r="C71" s="28">
        <f>IF(B71="","",IFERROR(INDEX(Lists!$A$4:$A$15,MATCH(B71,Lists!$B$4:$B$15,0)),0))</f>
        <v/>
      </c>
      <c r="D71" s="25" t="n"/>
      <c r="E71" s="24" t="n"/>
      <c r="F71" s="27">
        <f>IF(E71="","",IFERROR(INDEX(Lists!$H$4:$H$40,MATCH(E71,Lists!$F$4:$F$40,0)),"UNMAPPED"))</f>
        <v/>
      </c>
      <c r="G71" s="25" t="n"/>
      <c r="H71" s="25" t="n"/>
      <c r="I71" s="25" t="n"/>
      <c r="J71" s="25" t="n"/>
      <c r="K71" s="25" t="n"/>
      <c r="L71" s="29" t="n"/>
      <c r="M71" s="25" t="n"/>
      <c r="N71" s="30" t="n"/>
      <c r="O71" s="31">
        <f>IF(N71="","",IF(G71="Revenue",ROUND(N71*VATRate,2),0))</f>
        <v/>
      </c>
      <c r="P71" s="31">
        <f>IF(N71="","",N71+O71)</f>
        <v/>
      </c>
    </row>
    <row r="72">
      <c r="A72" s="26" t="n"/>
      <c r="B72" s="27">
        <f>IF(A72="","",IF(OR(A72&lt;MIN(Lists!$C$4:$C$15),A72&gt;MAX(Lists!$D$4:$D$15)),"No period",INDEX(Lists!$B$4:$B$15,MATCH(A72,Lists!$C$4:$C$15,1))))</f>
        <v/>
      </c>
      <c r="C72" s="28">
        <f>IF(B72="","",IFERROR(INDEX(Lists!$A$4:$A$15,MATCH(B72,Lists!$B$4:$B$15,0)),0))</f>
        <v/>
      </c>
      <c r="D72" s="25" t="n"/>
      <c r="E72" s="24" t="n"/>
      <c r="F72" s="27">
        <f>IF(E72="","",IFERROR(INDEX(Lists!$H$4:$H$40,MATCH(E72,Lists!$F$4:$F$40,0)),"UNMAPPED"))</f>
        <v/>
      </c>
      <c r="G72" s="25" t="n"/>
      <c r="H72" s="25" t="n"/>
      <c r="I72" s="25" t="n"/>
      <c r="J72" s="25" t="n"/>
      <c r="K72" s="25" t="n"/>
      <c r="L72" s="29" t="n"/>
      <c r="M72" s="25" t="n"/>
      <c r="N72" s="30" t="n"/>
      <c r="O72" s="31">
        <f>IF(N72="","",IF(G72="Revenue",ROUND(N72*VATRate,2),0))</f>
        <v/>
      </c>
      <c r="P72" s="31">
        <f>IF(N72="","",N72+O72)</f>
        <v/>
      </c>
    </row>
    <row r="73">
      <c r="A73" s="26" t="n"/>
      <c r="B73" s="27">
        <f>IF(A73="","",IF(OR(A73&lt;MIN(Lists!$C$4:$C$15),A73&gt;MAX(Lists!$D$4:$D$15)),"No period",INDEX(Lists!$B$4:$B$15,MATCH(A73,Lists!$C$4:$C$15,1))))</f>
        <v/>
      </c>
      <c r="C73" s="28">
        <f>IF(B73="","",IFERROR(INDEX(Lists!$A$4:$A$15,MATCH(B73,Lists!$B$4:$B$15,0)),0))</f>
        <v/>
      </c>
      <c r="D73" s="25" t="n"/>
      <c r="E73" s="24" t="n"/>
      <c r="F73" s="27">
        <f>IF(E73="","",IFERROR(INDEX(Lists!$H$4:$H$40,MATCH(E73,Lists!$F$4:$F$40,0)),"UNMAPPED"))</f>
        <v/>
      </c>
      <c r="G73" s="25" t="n"/>
      <c r="H73" s="25" t="n"/>
      <c r="I73" s="25" t="n"/>
      <c r="J73" s="25" t="n"/>
      <c r="K73" s="25" t="n"/>
      <c r="L73" s="29" t="n"/>
      <c r="M73" s="25" t="n"/>
      <c r="N73" s="30" t="n"/>
      <c r="O73" s="31">
        <f>IF(N73="","",IF(G73="Revenue",ROUND(N73*VATRate,2),0))</f>
        <v/>
      </c>
      <c r="P73" s="31">
        <f>IF(N73="","",N73+O73)</f>
        <v/>
      </c>
    </row>
    <row r="74">
      <c r="A74" s="26" t="n"/>
      <c r="B74" s="27">
        <f>IF(A74="","",IF(OR(A74&lt;MIN(Lists!$C$4:$C$15),A74&gt;MAX(Lists!$D$4:$D$15)),"No period",INDEX(Lists!$B$4:$B$15,MATCH(A74,Lists!$C$4:$C$15,1))))</f>
        <v/>
      </c>
      <c r="C74" s="28">
        <f>IF(B74="","",IFERROR(INDEX(Lists!$A$4:$A$15,MATCH(B74,Lists!$B$4:$B$15,0)),0))</f>
        <v/>
      </c>
      <c r="D74" s="25" t="n"/>
      <c r="E74" s="24" t="n"/>
      <c r="F74" s="27">
        <f>IF(E74="","",IFERROR(INDEX(Lists!$H$4:$H$40,MATCH(E74,Lists!$F$4:$F$40,0)),"UNMAPPED"))</f>
        <v/>
      </c>
      <c r="G74" s="25" t="n"/>
      <c r="H74" s="25" t="n"/>
      <c r="I74" s="25" t="n"/>
      <c r="J74" s="25" t="n"/>
      <c r="K74" s="25" t="n"/>
      <c r="L74" s="29" t="n"/>
      <c r="M74" s="25" t="n"/>
      <c r="N74" s="30" t="n"/>
      <c r="O74" s="31">
        <f>IF(N74="","",IF(G74="Revenue",ROUND(N74*VATRate,2),0))</f>
        <v/>
      </c>
      <c r="P74" s="31">
        <f>IF(N74="","",N74+O74)</f>
        <v/>
      </c>
    </row>
    <row r="75">
      <c r="A75" s="26" t="n"/>
      <c r="B75" s="27">
        <f>IF(A75="","",IF(OR(A75&lt;MIN(Lists!$C$4:$C$15),A75&gt;MAX(Lists!$D$4:$D$15)),"No period",INDEX(Lists!$B$4:$B$15,MATCH(A75,Lists!$C$4:$C$15,1))))</f>
        <v/>
      </c>
      <c r="C75" s="28">
        <f>IF(B75="","",IFERROR(INDEX(Lists!$A$4:$A$15,MATCH(B75,Lists!$B$4:$B$15,0)),0))</f>
        <v/>
      </c>
      <c r="D75" s="25" t="n"/>
      <c r="E75" s="24" t="n"/>
      <c r="F75" s="27">
        <f>IF(E75="","",IFERROR(INDEX(Lists!$H$4:$H$40,MATCH(E75,Lists!$F$4:$F$40,0)),"UNMAPPED"))</f>
        <v/>
      </c>
      <c r="G75" s="25" t="n"/>
      <c r="H75" s="25" t="n"/>
      <c r="I75" s="25" t="n"/>
      <c r="J75" s="25" t="n"/>
      <c r="K75" s="25" t="n"/>
      <c r="L75" s="29" t="n"/>
      <c r="M75" s="25" t="n"/>
      <c r="N75" s="30" t="n"/>
      <c r="O75" s="31">
        <f>IF(N75="","",IF(G75="Revenue",ROUND(N75*VATRate,2),0))</f>
        <v/>
      </c>
      <c r="P75" s="31">
        <f>IF(N75="","",N75+O75)</f>
        <v/>
      </c>
    </row>
    <row r="76">
      <c r="A76" s="26" t="n"/>
      <c r="B76" s="27">
        <f>IF(A76="","",IF(OR(A76&lt;MIN(Lists!$C$4:$C$15),A76&gt;MAX(Lists!$D$4:$D$15)),"No period",INDEX(Lists!$B$4:$B$15,MATCH(A76,Lists!$C$4:$C$15,1))))</f>
        <v/>
      </c>
      <c r="C76" s="28">
        <f>IF(B76="","",IFERROR(INDEX(Lists!$A$4:$A$15,MATCH(B76,Lists!$B$4:$B$15,0)),0))</f>
        <v/>
      </c>
      <c r="D76" s="25" t="n"/>
      <c r="E76" s="24" t="n"/>
      <c r="F76" s="27">
        <f>IF(E76="","",IFERROR(INDEX(Lists!$H$4:$H$40,MATCH(E76,Lists!$F$4:$F$40,0)),"UNMAPPED"))</f>
        <v/>
      </c>
      <c r="G76" s="25" t="n"/>
      <c r="H76" s="25" t="n"/>
      <c r="I76" s="25" t="n"/>
      <c r="J76" s="25" t="n"/>
      <c r="K76" s="25" t="n"/>
      <c r="L76" s="29" t="n"/>
      <c r="M76" s="25" t="n"/>
      <c r="N76" s="30" t="n"/>
      <c r="O76" s="31">
        <f>IF(N76="","",IF(G76="Revenue",ROUND(N76*VATRate,2),0))</f>
        <v/>
      </c>
      <c r="P76" s="31">
        <f>IF(N76="","",N76+O76)</f>
        <v/>
      </c>
    </row>
    <row r="77">
      <c r="A77" s="26" t="n"/>
      <c r="B77" s="27">
        <f>IF(A77="","",IF(OR(A77&lt;MIN(Lists!$C$4:$C$15),A77&gt;MAX(Lists!$D$4:$D$15)),"No period",INDEX(Lists!$B$4:$B$15,MATCH(A77,Lists!$C$4:$C$15,1))))</f>
        <v/>
      </c>
      <c r="C77" s="28">
        <f>IF(B77="","",IFERROR(INDEX(Lists!$A$4:$A$15,MATCH(B77,Lists!$B$4:$B$15,0)),0))</f>
        <v/>
      </c>
      <c r="D77" s="25" t="n"/>
      <c r="E77" s="24" t="n"/>
      <c r="F77" s="27">
        <f>IF(E77="","",IFERROR(INDEX(Lists!$H$4:$H$40,MATCH(E77,Lists!$F$4:$F$40,0)),"UNMAPPED"))</f>
        <v/>
      </c>
      <c r="G77" s="25" t="n"/>
      <c r="H77" s="25" t="n"/>
      <c r="I77" s="25" t="n"/>
      <c r="J77" s="25" t="n"/>
      <c r="K77" s="25" t="n"/>
      <c r="L77" s="29" t="n"/>
      <c r="M77" s="25" t="n"/>
      <c r="N77" s="30" t="n"/>
      <c r="O77" s="31">
        <f>IF(N77="","",IF(G77="Revenue",ROUND(N77*VATRate,2),0))</f>
        <v/>
      </c>
      <c r="P77" s="31">
        <f>IF(N77="","",N77+O77)</f>
        <v/>
      </c>
    </row>
    <row r="78">
      <c r="A78" s="26" t="n"/>
      <c r="B78" s="27">
        <f>IF(A78="","",IF(OR(A78&lt;MIN(Lists!$C$4:$C$15),A78&gt;MAX(Lists!$D$4:$D$15)),"No period",INDEX(Lists!$B$4:$B$15,MATCH(A78,Lists!$C$4:$C$15,1))))</f>
        <v/>
      </c>
      <c r="C78" s="28">
        <f>IF(B78="","",IFERROR(INDEX(Lists!$A$4:$A$15,MATCH(B78,Lists!$B$4:$B$15,0)),0))</f>
        <v/>
      </c>
      <c r="D78" s="25" t="n"/>
      <c r="E78" s="24" t="n"/>
      <c r="F78" s="27">
        <f>IF(E78="","",IFERROR(INDEX(Lists!$H$4:$H$40,MATCH(E78,Lists!$F$4:$F$40,0)),"UNMAPPED"))</f>
        <v/>
      </c>
      <c r="G78" s="25" t="n"/>
      <c r="H78" s="25" t="n"/>
      <c r="I78" s="25" t="n"/>
      <c r="J78" s="25" t="n"/>
      <c r="K78" s="25" t="n"/>
      <c r="L78" s="29" t="n"/>
      <c r="M78" s="25" t="n"/>
      <c r="N78" s="30" t="n"/>
      <c r="O78" s="31">
        <f>IF(N78="","",IF(G78="Revenue",ROUND(N78*VATRate,2),0))</f>
        <v/>
      </c>
      <c r="P78" s="31">
        <f>IF(N78="","",N78+O78)</f>
        <v/>
      </c>
    </row>
    <row r="79">
      <c r="A79" s="26" t="n"/>
      <c r="B79" s="27">
        <f>IF(A79="","",IF(OR(A79&lt;MIN(Lists!$C$4:$C$15),A79&gt;MAX(Lists!$D$4:$D$15)),"No period",INDEX(Lists!$B$4:$B$15,MATCH(A79,Lists!$C$4:$C$15,1))))</f>
        <v/>
      </c>
      <c r="C79" s="28">
        <f>IF(B79="","",IFERROR(INDEX(Lists!$A$4:$A$15,MATCH(B79,Lists!$B$4:$B$15,0)),0))</f>
        <v/>
      </c>
      <c r="D79" s="25" t="n"/>
      <c r="E79" s="24" t="n"/>
      <c r="F79" s="27">
        <f>IF(E79="","",IFERROR(INDEX(Lists!$H$4:$H$40,MATCH(E79,Lists!$F$4:$F$40,0)),"UNMAPPED"))</f>
        <v/>
      </c>
      <c r="G79" s="25" t="n"/>
      <c r="H79" s="25" t="n"/>
      <c r="I79" s="25" t="n"/>
      <c r="J79" s="25" t="n"/>
      <c r="K79" s="25" t="n"/>
      <c r="L79" s="29" t="n"/>
      <c r="M79" s="25" t="n"/>
      <c r="N79" s="30" t="n"/>
      <c r="O79" s="31">
        <f>IF(N79="","",IF(G79="Revenue",ROUND(N79*VATRate,2),0))</f>
        <v/>
      </c>
      <c r="P79" s="31">
        <f>IF(N79="","",N79+O79)</f>
        <v/>
      </c>
    </row>
    <row r="80">
      <c r="A80" s="26" t="n"/>
      <c r="B80" s="27">
        <f>IF(A80="","",IF(OR(A80&lt;MIN(Lists!$C$4:$C$15),A80&gt;MAX(Lists!$D$4:$D$15)),"No period",INDEX(Lists!$B$4:$B$15,MATCH(A80,Lists!$C$4:$C$15,1))))</f>
        <v/>
      </c>
      <c r="C80" s="28">
        <f>IF(B80="","",IFERROR(INDEX(Lists!$A$4:$A$15,MATCH(B80,Lists!$B$4:$B$15,0)),0))</f>
        <v/>
      </c>
      <c r="D80" s="25" t="n"/>
      <c r="E80" s="24" t="n"/>
      <c r="F80" s="27">
        <f>IF(E80="","",IFERROR(INDEX(Lists!$H$4:$H$40,MATCH(E80,Lists!$F$4:$F$40,0)),"UNMAPPED"))</f>
        <v/>
      </c>
      <c r="G80" s="25" t="n"/>
      <c r="H80" s="25" t="n"/>
      <c r="I80" s="25" t="n"/>
      <c r="J80" s="25" t="n"/>
      <c r="K80" s="25" t="n"/>
      <c r="L80" s="29" t="n"/>
      <c r="M80" s="25" t="n"/>
      <c r="N80" s="30" t="n"/>
      <c r="O80" s="31">
        <f>IF(N80="","",IF(G80="Revenue",ROUND(N80*VATRate,2),0))</f>
        <v/>
      </c>
      <c r="P80" s="31">
        <f>IF(N80="","",N80+O80)</f>
        <v/>
      </c>
    </row>
    <row r="81">
      <c r="A81" s="26" t="n"/>
      <c r="B81" s="27">
        <f>IF(A81="","",IF(OR(A81&lt;MIN(Lists!$C$4:$C$15),A81&gt;MAX(Lists!$D$4:$D$15)),"No period",INDEX(Lists!$B$4:$B$15,MATCH(A81,Lists!$C$4:$C$15,1))))</f>
        <v/>
      </c>
      <c r="C81" s="28">
        <f>IF(B81="","",IFERROR(INDEX(Lists!$A$4:$A$15,MATCH(B81,Lists!$B$4:$B$15,0)),0))</f>
        <v/>
      </c>
      <c r="D81" s="25" t="n"/>
      <c r="E81" s="24" t="n"/>
      <c r="F81" s="27">
        <f>IF(E81="","",IFERROR(INDEX(Lists!$H$4:$H$40,MATCH(E81,Lists!$F$4:$F$40,0)),"UNMAPPED"))</f>
        <v/>
      </c>
      <c r="G81" s="25" t="n"/>
      <c r="H81" s="25" t="n"/>
      <c r="I81" s="25" t="n"/>
      <c r="J81" s="25" t="n"/>
      <c r="K81" s="25" t="n"/>
      <c r="L81" s="29" t="n"/>
      <c r="M81" s="25" t="n"/>
      <c r="N81" s="30" t="n"/>
      <c r="O81" s="31">
        <f>IF(N81="","",IF(G81="Revenue",ROUND(N81*VATRate,2),0))</f>
        <v/>
      </c>
      <c r="P81" s="31">
        <f>IF(N81="","",N81+O81)</f>
        <v/>
      </c>
    </row>
    <row r="82">
      <c r="A82" s="26" t="n"/>
      <c r="B82" s="27">
        <f>IF(A82="","",IF(OR(A82&lt;MIN(Lists!$C$4:$C$15),A82&gt;MAX(Lists!$D$4:$D$15)),"No period",INDEX(Lists!$B$4:$B$15,MATCH(A82,Lists!$C$4:$C$15,1))))</f>
        <v/>
      </c>
      <c r="C82" s="28">
        <f>IF(B82="","",IFERROR(INDEX(Lists!$A$4:$A$15,MATCH(B82,Lists!$B$4:$B$15,0)),0))</f>
        <v/>
      </c>
      <c r="D82" s="25" t="n"/>
      <c r="E82" s="24" t="n"/>
      <c r="F82" s="27">
        <f>IF(E82="","",IFERROR(INDEX(Lists!$H$4:$H$40,MATCH(E82,Lists!$F$4:$F$40,0)),"UNMAPPED"))</f>
        <v/>
      </c>
      <c r="G82" s="25" t="n"/>
      <c r="H82" s="25" t="n"/>
      <c r="I82" s="25" t="n"/>
      <c r="J82" s="25" t="n"/>
      <c r="K82" s="25" t="n"/>
      <c r="L82" s="29" t="n"/>
      <c r="M82" s="25" t="n"/>
      <c r="N82" s="30" t="n"/>
      <c r="O82" s="31">
        <f>IF(N82="","",IF(G82="Revenue",ROUND(N82*VATRate,2),0))</f>
        <v/>
      </c>
      <c r="P82" s="31">
        <f>IF(N82="","",N82+O82)</f>
        <v/>
      </c>
    </row>
    <row r="83">
      <c r="A83" s="26" t="n"/>
      <c r="B83" s="27">
        <f>IF(A83="","",IF(OR(A83&lt;MIN(Lists!$C$4:$C$15),A83&gt;MAX(Lists!$D$4:$D$15)),"No period",INDEX(Lists!$B$4:$B$15,MATCH(A83,Lists!$C$4:$C$15,1))))</f>
        <v/>
      </c>
      <c r="C83" s="28">
        <f>IF(B83="","",IFERROR(INDEX(Lists!$A$4:$A$15,MATCH(B83,Lists!$B$4:$B$15,0)),0))</f>
        <v/>
      </c>
      <c r="D83" s="25" t="n"/>
      <c r="E83" s="24" t="n"/>
      <c r="F83" s="27">
        <f>IF(E83="","",IFERROR(INDEX(Lists!$H$4:$H$40,MATCH(E83,Lists!$F$4:$F$40,0)),"UNMAPPED"))</f>
        <v/>
      </c>
      <c r="G83" s="25" t="n"/>
      <c r="H83" s="25" t="n"/>
      <c r="I83" s="25" t="n"/>
      <c r="J83" s="25" t="n"/>
      <c r="K83" s="25" t="n"/>
      <c r="L83" s="29" t="n"/>
      <c r="M83" s="25" t="n"/>
      <c r="N83" s="30" t="n"/>
      <c r="O83" s="31">
        <f>IF(N83="","",IF(G83="Revenue",ROUND(N83*VATRate,2),0))</f>
        <v/>
      </c>
      <c r="P83" s="31">
        <f>IF(N83="","",N83+O83)</f>
        <v/>
      </c>
    </row>
    <row r="84">
      <c r="A84" s="26" t="n"/>
      <c r="B84" s="27">
        <f>IF(A84="","",IF(OR(A84&lt;MIN(Lists!$C$4:$C$15),A84&gt;MAX(Lists!$D$4:$D$15)),"No period",INDEX(Lists!$B$4:$B$15,MATCH(A84,Lists!$C$4:$C$15,1))))</f>
        <v/>
      </c>
      <c r="C84" s="28">
        <f>IF(B84="","",IFERROR(INDEX(Lists!$A$4:$A$15,MATCH(B84,Lists!$B$4:$B$15,0)),0))</f>
        <v/>
      </c>
      <c r="D84" s="25" t="n"/>
      <c r="E84" s="24" t="n"/>
      <c r="F84" s="27">
        <f>IF(E84="","",IFERROR(INDEX(Lists!$H$4:$H$40,MATCH(E84,Lists!$F$4:$F$40,0)),"UNMAPPED"))</f>
        <v/>
      </c>
      <c r="G84" s="25" t="n"/>
      <c r="H84" s="25" t="n"/>
      <c r="I84" s="25" t="n"/>
      <c r="J84" s="25" t="n"/>
      <c r="K84" s="25" t="n"/>
      <c r="L84" s="29" t="n"/>
      <c r="M84" s="25" t="n"/>
      <c r="N84" s="30" t="n"/>
      <c r="O84" s="31">
        <f>IF(N84="","",IF(G84="Revenue",ROUND(N84*VATRate,2),0))</f>
        <v/>
      </c>
      <c r="P84" s="31">
        <f>IF(N84="","",N84+O84)</f>
        <v/>
      </c>
    </row>
    <row r="85">
      <c r="A85" s="26" t="n"/>
      <c r="B85" s="27">
        <f>IF(A85="","",IF(OR(A85&lt;MIN(Lists!$C$4:$C$15),A85&gt;MAX(Lists!$D$4:$D$15)),"No period",INDEX(Lists!$B$4:$B$15,MATCH(A85,Lists!$C$4:$C$15,1))))</f>
        <v/>
      </c>
      <c r="C85" s="28">
        <f>IF(B85="","",IFERROR(INDEX(Lists!$A$4:$A$15,MATCH(B85,Lists!$B$4:$B$15,0)),0))</f>
        <v/>
      </c>
      <c r="D85" s="25" t="n"/>
      <c r="E85" s="24" t="n"/>
      <c r="F85" s="27">
        <f>IF(E85="","",IFERROR(INDEX(Lists!$H$4:$H$40,MATCH(E85,Lists!$F$4:$F$40,0)),"UNMAPPED"))</f>
        <v/>
      </c>
      <c r="G85" s="25" t="n"/>
      <c r="H85" s="25" t="n"/>
      <c r="I85" s="25" t="n"/>
      <c r="J85" s="25" t="n"/>
      <c r="K85" s="25" t="n"/>
      <c r="L85" s="29" t="n"/>
      <c r="M85" s="25" t="n"/>
      <c r="N85" s="30" t="n"/>
      <c r="O85" s="31">
        <f>IF(N85="","",IF(G85="Revenue",ROUND(N85*VATRate,2),0))</f>
        <v/>
      </c>
      <c r="P85" s="31">
        <f>IF(N85="","",N85+O85)</f>
        <v/>
      </c>
    </row>
    <row r="86">
      <c r="A86" s="26" t="n"/>
      <c r="B86" s="27">
        <f>IF(A86="","",IF(OR(A86&lt;MIN(Lists!$C$4:$C$15),A86&gt;MAX(Lists!$D$4:$D$15)),"No period",INDEX(Lists!$B$4:$B$15,MATCH(A86,Lists!$C$4:$C$15,1))))</f>
        <v/>
      </c>
      <c r="C86" s="28">
        <f>IF(B86="","",IFERROR(INDEX(Lists!$A$4:$A$15,MATCH(B86,Lists!$B$4:$B$15,0)),0))</f>
        <v/>
      </c>
      <c r="D86" s="25" t="n"/>
      <c r="E86" s="24" t="n"/>
      <c r="F86" s="27">
        <f>IF(E86="","",IFERROR(INDEX(Lists!$H$4:$H$40,MATCH(E86,Lists!$F$4:$F$40,0)),"UNMAPPED"))</f>
        <v/>
      </c>
      <c r="G86" s="25" t="n"/>
      <c r="H86" s="25" t="n"/>
      <c r="I86" s="25" t="n"/>
      <c r="J86" s="25" t="n"/>
      <c r="K86" s="25" t="n"/>
      <c r="L86" s="29" t="n"/>
      <c r="M86" s="25" t="n"/>
      <c r="N86" s="30" t="n"/>
      <c r="O86" s="31">
        <f>IF(N86="","",IF(G86="Revenue",ROUND(N86*VATRate,2),0))</f>
        <v/>
      </c>
      <c r="P86" s="31">
        <f>IF(N86="","",N86+O86)</f>
        <v/>
      </c>
    </row>
    <row r="87">
      <c r="A87" s="26" t="n"/>
      <c r="B87" s="27">
        <f>IF(A87="","",IF(OR(A87&lt;MIN(Lists!$C$4:$C$15),A87&gt;MAX(Lists!$D$4:$D$15)),"No period",INDEX(Lists!$B$4:$B$15,MATCH(A87,Lists!$C$4:$C$15,1))))</f>
        <v/>
      </c>
      <c r="C87" s="28">
        <f>IF(B87="","",IFERROR(INDEX(Lists!$A$4:$A$15,MATCH(B87,Lists!$B$4:$B$15,0)),0))</f>
        <v/>
      </c>
      <c r="D87" s="25" t="n"/>
      <c r="E87" s="24" t="n"/>
      <c r="F87" s="27">
        <f>IF(E87="","",IFERROR(INDEX(Lists!$H$4:$H$40,MATCH(E87,Lists!$F$4:$F$40,0)),"UNMAPPED"))</f>
        <v/>
      </c>
      <c r="G87" s="25" t="n"/>
      <c r="H87" s="25" t="n"/>
      <c r="I87" s="25" t="n"/>
      <c r="J87" s="25" t="n"/>
      <c r="K87" s="25" t="n"/>
      <c r="L87" s="29" t="n"/>
      <c r="M87" s="25" t="n"/>
      <c r="N87" s="30" t="n"/>
      <c r="O87" s="31">
        <f>IF(N87="","",IF(G87="Revenue",ROUND(N87*VATRate,2),0))</f>
        <v/>
      </c>
      <c r="P87" s="31">
        <f>IF(N87="","",N87+O87)</f>
        <v/>
      </c>
    </row>
    <row r="88">
      <c r="A88" s="26" t="n"/>
      <c r="B88" s="27">
        <f>IF(A88="","",IF(OR(A88&lt;MIN(Lists!$C$4:$C$15),A88&gt;MAX(Lists!$D$4:$D$15)),"No period",INDEX(Lists!$B$4:$B$15,MATCH(A88,Lists!$C$4:$C$15,1))))</f>
        <v/>
      </c>
      <c r="C88" s="28">
        <f>IF(B88="","",IFERROR(INDEX(Lists!$A$4:$A$15,MATCH(B88,Lists!$B$4:$B$15,0)),0))</f>
        <v/>
      </c>
      <c r="D88" s="25" t="n"/>
      <c r="E88" s="24" t="n"/>
      <c r="F88" s="27">
        <f>IF(E88="","",IFERROR(INDEX(Lists!$H$4:$H$40,MATCH(E88,Lists!$F$4:$F$40,0)),"UNMAPPED"))</f>
        <v/>
      </c>
      <c r="G88" s="25" t="n"/>
      <c r="H88" s="25" t="n"/>
      <c r="I88" s="25" t="n"/>
      <c r="J88" s="25" t="n"/>
      <c r="K88" s="25" t="n"/>
      <c r="L88" s="29" t="n"/>
      <c r="M88" s="25" t="n"/>
      <c r="N88" s="30" t="n"/>
      <c r="O88" s="31">
        <f>IF(N88="","",IF(G88="Revenue",ROUND(N88*VATRate,2),0))</f>
        <v/>
      </c>
      <c r="P88" s="31">
        <f>IF(N88="","",N88+O88)</f>
        <v/>
      </c>
    </row>
    <row r="89">
      <c r="A89" s="26" t="n"/>
      <c r="B89" s="27">
        <f>IF(A89="","",IF(OR(A89&lt;MIN(Lists!$C$4:$C$15),A89&gt;MAX(Lists!$D$4:$D$15)),"No period",INDEX(Lists!$B$4:$B$15,MATCH(A89,Lists!$C$4:$C$15,1))))</f>
        <v/>
      </c>
      <c r="C89" s="28">
        <f>IF(B89="","",IFERROR(INDEX(Lists!$A$4:$A$15,MATCH(B89,Lists!$B$4:$B$15,0)),0))</f>
        <v/>
      </c>
      <c r="D89" s="25" t="n"/>
      <c r="E89" s="24" t="n"/>
      <c r="F89" s="27">
        <f>IF(E89="","",IFERROR(INDEX(Lists!$H$4:$H$40,MATCH(E89,Lists!$F$4:$F$40,0)),"UNMAPPED"))</f>
        <v/>
      </c>
      <c r="G89" s="25" t="n"/>
      <c r="H89" s="25" t="n"/>
      <c r="I89" s="25" t="n"/>
      <c r="J89" s="25" t="n"/>
      <c r="K89" s="25" t="n"/>
      <c r="L89" s="29" t="n"/>
      <c r="M89" s="25" t="n"/>
      <c r="N89" s="30" t="n"/>
      <c r="O89" s="31">
        <f>IF(N89="","",IF(G89="Revenue",ROUND(N89*VATRate,2),0))</f>
        <v/>
      </c>
      <c r="P89" s="31">
        <f>IF(N89="","",N89+O89)</f>
        <v/>
      </c>
    </row>
    <row r="90">
      <c r="A90" s="26" t="n"/>
      <c r="B90" s="27">
        <f>IF(A90="","",IF(OR(A90&lt;MIN(Lists!$C$4:$C$15),A90&gt;MAX(Lists!$D$4:$D$15)),"No period",INDEX(Lists!$B$4:$B$15,MATCH(A90,Lists!$C$4:$C$15,1))))</f>
        <v/>
      </c>
      <c r="C90" s="28">
        <f>IF(B90="","",IFERROR(INDEX(Lists!$A$4:$A$15,MATCH(B90,Lists!$B$4:$B$15,0)),0))</f>
        <v/>
      </c>
      <c r="D90" s="25" t="n"/>
      <c r="E90" s="24" t="n"/>
      <c r="F90" s="27">
        <f>IF(E90="","",IFERROR(INDEX(Lists!$H$4:$H$40,MATCH(E90,Lists!$F$4:$F$40,0)),"UNMAPPED"))</f>
        <v/>
      </c>
      <c r="G90" s="25" t="n"/>
      <c r="H90" s="25" t="n"/>
      <c r="I90" s="25" t="n"/>
      <c r="J90" s="25" t="n"/>
      <c r="K90" s="25" t="n"/>
      <c r="L90" s="29" t="n"/>
      <c r="M90" s="25" t="n"/>
      <c r="N90" s="30" t="n"/>
      <c r="O90" s="31">
        <f>IF(N90="","",IF(G90="Revenue",ROUND(N90*VATRate,2),0))</f>
        <v/>
      </c>
      <c r="P90" s="31">
        <f>IF(N90="","",N90+O90)</f>
        <v/>
      </c>
    </row>
    <row r="91">
      <c r="A91" s="26" t="n"/>
      <c r="B91" s="27">
        <f>IF(A91="","",IF(OR(A91&lt;MIN(Lists!$C$4:$C$15),A91&gt;MAX(Lists!$D$4:$D$15)),"No period",INDEX(Lists!$B$4:$B$15,MATCH(A91,Lists!$C$4:$C$15,1))))</f>
        <v/>
      </c>
      <c r="C91" s="28">
        <f>IF(B91="","",IFERROR(INDEX(Lists!$A$4:$A$15,MATCH(B91,Lists!$B$4:$B$15,0)),0))</f>
        <v/>
      </c>
      <c r="D91" s="25" t="n"/>
      <c r="E91" s="24" t="n"/>
      <c r="F91" s="27">
        <f>IF(E91="","",IFERROR(INDEX(Lists!$H$4:$H$40,MATCH(E91,Lists!$F$4:$F$40,0)),"UNMAPPED"))</f>
        <v/>
      </c>
      <c r="G91" s="25" t="n"/>
      <c r="H91" s="25" t="n"/>
      <c r="I91" s="25" t="n"/>
      <c r="J91" s="25" t="n"/>
      <c r="K91" s="25" t="n"/>
      <c r="L91" s="29" t="n"/>
      <c r="M91" s="25" t="n"/>
      <c r="N91" s="30" t="n"/>
      <c r="O91" s="31">
        <f>IF(N91="","",IF(G91="Revenue",ROUND(N91*VATRate,2),0))</f>
        <v/>
      </c>
      <c r="P91" s="31">
        <f>IF(N91="","",N91+O91)</f>
        <v/>
      </c>
    </row>
    <row r="92">
      <c r="A92" s="26" t="n"/>
      <c r="B92" s="27">
        <f>IF(A92="","",IF(OR(A92&lt;MIN(Lists!$C$4:$C$15),A92&gt;MAX(Lists!$D$4:$D$15)),"No period",INDEX(Lists!$B$4:$B$15,MATCH(A92,Lists!$C$4:$C$15,1))))</f>
        <v/>
      </c>
      <c r="C92" s="28">
        <f>IF(B92="","",IFERROR(INDEX(Lists!$A$4:$A$15,MATCH(B92,Lists!$B$4:$B$15,0)),0))</f>
        <v/>
      </c>
      <c r="D92" s="25" t="n"/>
      <c r="E92" s="24" t="n"/>
      <c r="F92" s="27">
        <f>IF(E92="","",IFERROR(INDEX(Lists!$H$4:$H$40,MATCH(E92,Lists!$F$4:$F$40,0)),"UNMAPPED"))</f>
        <v/>
      </c>
      <c r="G92" s="25" t="n"/>
      <c r="H92" s="25" t="n"/>
      <c r="I92" s="25" t="n"/>
      <c r="J92" s="25" t="n"/>
      <c r="K92" s="25" t="n"/>
      <c r="L92" s="29" t="n"/>
      <c r="M92" s="25" t="n"/>
      <c r="N92" s="30" t="n"/>
      <c r="O92" s="31">
        <f>IF(N92="","",IF(G92="Revenue",ROUND(N92*VATRate,2),0))</f>
        <v/>
      </c>
      <c r="P92" s="31">
        <f>IF(N92="","",N92+O92)</f>
        <v/>
      </c>
    </row>
    <row r="93">
      <c r="A93" s="26" t="n"/>
      <c r="B93" s="27">
        <f>IF(A93="","",IF(OR(A93&lt;MIN(Lists!$C$4:$C$15),A93&gt;MAX(Lists!$D$4:$D$15)),"No period",INDEX(Lists!$B$4:$B$15,MATCH(A93,Lists!$C$4:$C$15,1))))</f>
        <v/>
      </c>
      <c r="C93" s="28">
        <f>IF(B93="","",IFERROR(INDEX(Lists!$A$4:$A$15,MATCH(B93,Lists!$B$4:$B$15,0)),0))</f>
        <v/>
      </c>
      <c r="D93" s="25" t="n"/>
      <c r="E93" s="24" t="n"/>
      <c r="F93" s="27">
        <f>IF(E93="","",IFERROR(INDEX(Lists!$H$4:$H$40,MATCH(E93,Lists!$F$4:$F$40,0)),"UNMAPPED"))</f>
        <v/>
      </c>
      <c r="G93" s="25" t="n"/>
      <c r="H93" s="25" t="n"/>
      <c r="I93" s="25" t="n"/>
      <c r="J93" s="25" t="n"/>
      <c r="K93" s="25" t="n"/>
      <c r="L93" s="29" t="n"/>
      <c r="M93" s="25" t="n"/>
      <c r="N93" s="30" t="n"/>
      <c r="O93" s="31">
        <f>IF(N93="","",IF(G93="Revenue",ROUND(N93*VATRate,2),0))</f>
        <v/>
      </c>
      <c r="P93" s="31">
        <f>IF(N93="","",N93+O93)</f>
        <v/>
      </c>
    </row>
    <row r="94">
      <c r="A94" s="26" t="n"/>
      <c r="B94" s="27">
        <f>IF(A94="","",IF(OR(A94&lt;MIN(Lists!$C$4:$C$15),A94&gt;MAX(Lists!$D$4:$D$15)),"No period",INDEX(Lists!$B$4:$B$15,MATCH(A94,Lists!$C$4:$C$15,1))))</f>
        <v/>
      </c>
      <c r="C94" s="28">
        <f>IF(B94="","",IFERROR(INDEX(Lists!$A$4:$A$15,MATCH(B94,Lists!$B$4:$B$15,0)),0))</f>
        <v/>
      </c>
      <c r="D94" s="25" t="n"/>
      <c r="E94" s="24" t="n"/>
      <c r="F94" s="27">
        <f>IF(E94="","",IFERROR(INDEX(Lists!$H$4:$H$40,MATCH(E94,Lists!$F$4:$F$40,0)),"UNMAPPED"))</f>
        <v/>
      </c>
      <c r="G94" s="25" t="n"/>
      <c r="H94" s="25" t="n"/>
      <c r="I94" s="25" t="n"/>
      <c r="J94" s="25" t="n"/>
      <c r="K94" s="25" t="n"/>
      <c r="L94" s="29" t="n"/>
      <c r="M94" s="25" t="n"/>
      <c r="N94" s="30" t="n"/>
      <c r="O94" s="31">
        <f>IF(N94="","",IF(G94="Revenue",ROUND(N94*VATRate,2),0))</f>
        <v/>
      </c>
      <c r="P94" s="31">
        <f>IF(N94="","",N94+O94)</f>
        <v/>
      </c>
    </row>
    <row r="95">
      <c r="A95" s="26" t="n"/>
      <c r="B95" s="27">
        <f>IF(A95="","",IF(OR(A95&lt;MIN(Lists!$C$4:$C$15),A95&gt;MAX(Lists!$D$4:$D$15)),"No period",INDEX(Lists!$B$4:$B$15,MATCH(A95,Lists!$C$4:$C$15,1))))</f>
        <v/>
      </c>
      <c r="C95" s="28">
        <f>IF(B95="","",IFERROR(INDEX(Lists!$A$4:$A$15,MATCH(B95,Lists!$B$4:$B$15,0)),0))</f>
        <v/>
      </c>
      <c r="D95" s="25" t="n"/>
      <c r="E95" s="24" t="n"/>
      <c r="F95" s="27">
        <f>IF(E95="","",IFERROR(INDEX(Lists!$H$4:$H$40,MATCH(E95,Lists!$F$4:$F$40,0)),"UNMAPPED"))</f>
        <v/>
      </c>
      <c r="G95" s="25" t="n"/>
      <c r="H95" s="25" t="n"/>
      <c r="I95" s="25" t="n"/>
      <c r="J95" s="25" t="n"/>
      <c r="K95" s="25" t="n"/>
      <c r="L95" s="29" t="n"/>
      <c r="M95" s="25" t="n"/>
      <c r="N95" s="30" t="n"/>
      <c r="O95" s="31">
        <f>IF(N95="","",IF(G95="Revenue",ROUND(N95*VATRate,2),0))</f>
        <v/>
      </c>
      <c r="P95" s="31">
        <f>IF(N95="","",N95+O95)</f>
        <v/>
      </c>
    </row>
    <row r="96">
      <c r="A96" s="26" t="n"/>
      <c r="B96" s="27">
        <f>IF(A96="","",IF(OR(A96&lt;MIN(Lists!$C$4:$C$15),A96&gt;MAX(Lists!$D$4:$D$15)),"No period",INDEX(Lists!$B$4:$B$15,MATCH(A96,Lists!$C$4:$C$15,1))))</f>
        <v/>
      </c>
      <c r="C96" s="28">
        <f>IF(B96="","",IFERROR(INDEX(Lists!$A$4:$A$15,MATCH(B96,Lists!$B$4:$B$15,0)),0))</f>
        <v/>
      </c>
      <c r="D96" s="25" t="n"/>
      <c r="E96" s="24" t="n"/>
      <c r="F96" s="27">
        <f>IF(E96="","",IFERROR(INDEX(Lists!$H$4:$H$40,MATCH(E96,Lists!$F$4:$F$40,0)),"UNMAPPED"))</f>
        <v/>
      </c>
      <c r="G96" s="25" t="n"/>
      <c r="H96" s="25" t="n"/>
      <c r="I96" s="25" t="n"/>
      <c r="J96" s="25" t="n"/>
      <c r="K96" s="25" t="n"/>
      <c r="L96" s="29" t="n"/>
      <c r="M96" s="25" t="n"/>
      <c r="N96" s="30" t="n"/>
      <c r="O96" s="31">
        <f>IF(N96="","",IF(G96="Revenue",ROUND(N96*VATRate,2),0))</f>
        <v/>
      </c>
      <c r="P96" s="31">
        <f>IF(N96="","",N96+O96)</f>
        <v/>
      </c>
    </row>
    <row r="97">
      <c r="A97" s="26" t="n"/>
      <c r="B97" s="27">
        <f>IF(A97="","",IF(OR(A97&lt;MIN(Lists!$C$4:$C$15),A97&gt;MAX(Lists!$D$4:$D$15)),"No period",INDEX(Lists!$B$4:$B$15,MATCH(A97,Lists!$C$4:$C$15,1))))</f>
        <v/>
      </c>
      <c r="C97" s="28">
        <f>IF(B97="","",IFERROR(INDEX(Lists!$A$4:$A$15,MATCH(B97,Lists!$B$4:$B$15,0)),0))</f>
        <v/>
      </c>
      <c r="D97" s="25" t="n"/>
      <c r="E97" s="24" t="n"/>
      <c r="F97" s="27">
        <f>IF(E97="","",IFERROR(INDEX(Lists!$H$4:$H$40,MATCH(E97,Lists!$F$4:$F$40,0)),"UNMAPPED"))</f>
        <v/>
      </c>
      <c r="G97" s="25" t="n"/>
      <c r="H97" s="25" t="n"/>
      <c r="I97" s="25" t="n"/>
      <c r="J97" s="25" t="n"/>
      <c r="K97" s="25" t="n"/>
      <c r="L97" s="29" t="n"/>
      <c r="M97" s="25" t="n"/>
      <c r="N97" s="30" t="n"/>
      <c r="O97" s="31">
        <f>IF(N97="","",IF(G97="Revenue",ROUND(N97*VATRate,2),0))</f>
        <v/>
      </c>
      <c r="P97" s="31">
        <f>IF(N97="","",N97+O97)</f>
        <v/>
      </c>
    </row>
    <row r="98">
      <c r="A98" s="26" t="n"/>
      <c r="B98" s="27">
        <f>IF(A98="","",IF(OR(A98&lt;MIN(Lists!$C$4:$C$15),A98&gt;MAX(Lists!$D$4:$D$15)),"No period",INDEX(Lists!$B$4:$B$15,MATCH(A98,Lists!$C$4:$C$15,1))))</f>
        <v/>
      </c>
      <c r="C98" s="28">
        <f>IF(B98="","",IFERROR(INDEX(Lists!$A$4:$A$15,MATCH(B98,Lists!$B$4:$B$15,0)),0))</f>
        <v/>
      </c>
      <c r="D98" s="25" t="n"/>
      <c r="E98" s="24" t="n"/>
      <c r="F98" s="27">
        <f>IF(E98="","",IFERROR(INDEX(Lists!$H$4:$H$40,MATCH(E98,Lists!$F$4:$F$40,0)),"UNMAPPED"))</f>
        <v/>
      </c>
      <c r="G98" s="25" t="n"/>
      <c r="H98" s="25" t="n"/>
      <c r="I98" s="25" t="n"/>
      <c r="J98" s="25" t="n"/>
      <c r="K98" s="25" t="n"/>
      <c r="L98" s="29" t="n"/>
      <c r="M98" s="25" t="n"/>
      <c r="N98" s="30" t="n"/>
      <c r="O98" s="31">
        <f>IF(N98="","",IF(G98="Revenue",ROUND(N98*VATRate,2),0))</f>
        <v/>
      </c>
      <c r="P98" s="31">
        <f>IF(N98="","",N98+O98)</f>
        <v/>
      </c>
    </row>
    <row r="99">
      <c r="A99" s="26" t="n"/>
      <c r="B99" s="27">
        <f>IF(A99="","",IF(OR(A99&lt;MIN(Lists!$C$4:$C$15),A99&gt;MAX(Lists!$D$4:$D$15)),"No period",INDEX(Lists!$B$4:$B$15,MATCH(A99,Lists!$C$4:$C$15,1))))</f>
        <v/>
      </c>
      <c r="C99" s="28">
        <f>IF(B99="","",IFERROR(INDEX(Lists!$A$4:$A$15,MATCH(B99,Lists!$B$4:$B$15,0)),0))</f>
        <v/>
      </c>
      <c r="D99" s="25" t="n"/>
      <c r="E99" s="24" t="n"/>
      <c r="F99" s="27">
        <f>IF(E99="","",IFERROR(INDEX(Lists!$H$4:$H$40,MATCH(E99,Lists!$F$4:$F$40,0)),"UNMAPPED"))</f>
        <v/>
      </c>
      <c r="G99" s="25" t="n"/>
      <c r="H99" s="25" t="n"/>
      <c r="I99" s="25" t="n"/>
      <c r="J99" s="25" t="n"/>
      <c r="K99" s="25" t="n"/>
      <c r="L99" s="29" t="n"/>
      <c r="M99" s="25" t="n"/>
      <c r="N99" s="30" t="n"/>
      <c r="O99" s="31">
        <f>IF(N99="","",IF(G99="Revenue",ROUND(N99*VATRate,2),0))</f>
        <v/>
      </c>
      <c r="P99" s="31">
        <f>IF(N99="","",N99+O99)</f>
        <v/>
      </c>
    </row>
    <row r="100">
      <c r="A100" s="26" t="n"/>
      <c r="B100" s="27">
        <f>IF(A100="","",IF(OR(A100&lt;MIN(Lists!$C$4:$C$15),A100&gt;MAX(Lists!$D$4:$D$15)),"No period",INDEX(Lists!$B$4:$B$15,MATCH(A100,Lists!$C$4:$C$15,1))))</f>
        <v/>
      </c>
      <c r="C100" s="28">
        <f>IF(B100="","",IFERROR(INDEX(Lists!$A$4:$A$15,MATCH(B100,Lists!$B$4:$B$15,0)),0))</f>
        <v/>
      </c>
      <c r="D100" s="25" t="n"/>
      <c r="E100" s="24" t="n"/>
      <c r="F100" s="27">
        <f>IF(E100="","",IFERROR(INDEX(Lists!$H$4:$H$40,MATCH(E100,Lists!$F$4:$F$40,0)),"UNMAPPED"))</f>
        <v/>
      </c>
      <c r="G100" s="25" t="n"/>
      <c r="H100" s="25" t="n"/>
      <c r="I100" s="25" t="n"/>
      <c r="J100" s="25" t="n"/>
      <c r="K100" s="25" t="n"/>
      <c r="L100" s="29" t="n"/>
      <c r="M100" s="25" t="n"/>
      <c r="N100" s="30" t="n"/>
      <c r="O100" s="31">
        <f>IF(N100="","",IF(G100="Revenue",ROUND(N100*VATRate,2),0))</f>
        <v/>
      </c>
      <c r="P100" s="31">
        <f>IF(N100="","",N100+O100)</f>
        <v/>
      </c>
    </row>
    <row r="101">
      <c r="A101" s="26" t="n"/>
      <c r="B101" s="27">
        <f>IF(A101="","",IF(OR(A101&lt;MIN(Lists!$C$4:$C$15),A101&gt;MAX(Lists!$D$4:$D$15)),"No period",INDEX(Lists!$B$4:$B$15,MATCH(A101,Lists!$C$4:$C$15,1))))</f>
        <v/>
      </c>
      <c r="C101" s="28">
        <f>IF(B101="","",IFERROR(INDEX(Lists!$A$4:$A$15,MATCH(B101,Lists!$B$4:$B$15,0)),0))</f>
        <v/>
      </c>
      <c r="D101" s="25" t="n"/>
      <c r="E101" s="24" t="n"/>
      <c r="F101" s="27">
        <f>IF(E101="","",IFERROR(INDEX(Lists!$H$4:$H$40,MATCH(E101,Lists!$F$4:$F$40,0)),"UNMAPPED"))</f>
        <v/>
      </c>
      <c r="G101" s="25" t="n"/>
      <c r="H101" s="25" t="n"/>
      <c r="I101" s="25" t="n"/>
      <c r="J101" s="25" t="n"/>
      <c r="K101" s="25" t="n"/>
      <c r="L101" s="29" t="n"/>
      <c r="M101" s="25" t="n"/>
      <c r="N101" s="30" t="n"/>
      <c r="O101" s="31">
        <f>IF(N101="","",IF(G101="Revenue",ROUND(N101*VATRate,2),0))</f>
        <v/>
      </c>
      <c r="P101" s="31">
        <f>IF(N101="","",N101+O101)</f>
        <v/>
      </c>
    </row>
    <row r="102">
      <c r="A102" s="26" t="n"/>
      <c r="B102" s="27">
        <f>IF(A102="","",IF(OR(A102&lt;MIN(Lists!$C$4:$C$15),A102&gt;MAX(Lists!$D$4:$D$15)),"No period",INDEX(Lists!$B$4:$B$15,MATCH(A102,Lists!$C$4:$C$15,1))))</f>
        <v/>
      </c>
      <c r="C102" s="28">
        <f>IF(B102="","",IFERROR(INDEX(Lists!$A$4:$A$15,MATCH(B102,Lists!$B$4:$B$15,0)),0))</f>
        <v/>
      </c>
      <c r="D102" s="25" t="n"/>
      <c r="E102" s="24" t="n"/>
      <c r="F102" s="27">
        <f>IF(E102="","",IFERROR(INDEX(Lists!$H$4:$H$40,MATCH(E102,Lists!$F$4:$F$40,0)),"UNMAPPED"))</f>
        <v/>
      </c>
      <c r="G102" s="25" t="n"/>
      <c r="H102" s="25" t="n"/>
      <c r="I102" s="25" t="n"/>
      <c r="J102" s="25" t="n"/>
      <c r="K102" s="25" t="n"/>
      <c r="L102" s="29" t="n"/>
      <c r="M102" s="25" t="n"/>
      <c r="N102" s="30" t="n"/>
      <c r="O102" s="31">
        <f>IF(N102="","",IF(G102="Revenue",ROUND(N102*VATRate,2),0))</f>
        <v/>
      </c>
      <c r="P102" s="31">
        <f>IF(N102="","",N102+O102)</f>
        <v/>
      </c>
    </row>
    <row r="103">
      <c r="A103" s="26" t="n"/>
      <c r="B103" s="27">
        <f>IF(A103="","",IF(OR(A103&lt;MIN(Lists!$C$4:$C$15),A103&gt;MAX(Lists!$D$4:$D$15)),"No period",INDEX(Lists!$B$4:$B$15,MATCH(A103,Lists!$C$4:$C$15,1))))</f>
        <v/>
      </c>
      <c r="C103" s="28">
        <f>IF(B103="","",IFERROR(INDEX(Lists!$A$4:$A$15,MATCH(B103,Lists!$B$4:$B$15,0)),0))</f>
        <v/>
      </c>
      <c r="D103" s="25" t="n"/>
      <c r="E103" s="24" t="n"/>
      <c r="F103" s="27">
        <f>IF(E103="","",IFERROR(INDEX(Lists!$H$4:$H$40,MATCH(E103,Lists!$F$4:$F$40,0)),"UNMAPPED"))</f>
        <v/>
      </c>
      <c r="G103" s="25" t="n"/>
      <c r="H103" s="25" t="n"/>
      <c r="I103" s="25" t="n"/>
      <c r="J103" s="25" t="n"/>
      <c r="K103" s="25" t="n"/>
      <c r="L103" s="29" t="n"/>
      <c r="M103" s="25" t="n"/>
      <c r="N103" s="30" t="n"/>
      <c r="O103" s="31">
        <f>IF(N103="","",IF(G103="Revenue",ROUND(N103*VATRate,2),0))</f>
        <v/>
      </c>
      <c r="P103" s="31">
        <f>IF(N103="","",N103+O103)</f>
        <v/>
      </c>
    </row>
    <row r="104">
      <c r="A104" s="26" t="n"/>
      <c r="B104" s="27">
        <f>IF(A104="","",IF(OR(A104&lt;MIN(Lists!$C$4:$C$15),A104&gt;MAX(Lists!$D$4:$D$15)),"No period",INDEX(Lists!$B$4:$B$15,MATCH(A104,Lists!$C$4:$C$15,1))))</f>
        <v/>
      </c>
      <c r="C104" s="28">
        <f>IF(B104="","",IFERROR(INDEX(Lists!$A$4:$A$15,MATCH(B104,Lists!$B$4:$B$15,0)),0))</f>
        <v/>
      </c>
      <c r="D104" s="25" t="n"/>
      <c r="E104" s="24" t="n"/>
      <c r="F104" s="27">
        <f>IF(E104="","",IFERROR(INDEX(Lists!$H$4:$H$40,MATCH(E104,Lists!$F$4:$F$40,0)),"UNMAPPED"))</f>
        <v/>
      </c>
      <c r="G104" s="25" t="n"/>
      <c r="H104" s="25" t="n"/>
      <c r="I104" s="25" t="n"/>
      <c r="J104" s="25" t="n"/>
      <c r="K104" s="25" t="n"/>
      <c r="L104" s="29" t="n"/>
      <c r="M104" s="25" t="n"/>
      <c r="N104" s="30" t="n"/>
      <c r="O104" s="31">
        <f>IF(N104="","",IF(G104="Revenue",ROUND(N104*VATRate,2),0))</f>
        <v/>
      </c>
      <c r="P104" s="31">
        <f>IF(N104="","",N104+O104)</f>
        <v/>
      </c>
    </row>
    <row r="105">
      <c r="A105" s="26" t="n"/>
      <c r="B105" s="27">
        <f>IF(A105="","",IF(OR(A105&lt;MIN(Lists!$C$4:$C$15),A105&gt;MAX(Lists!$D$4:$D$15)),"No period",INDEX(Lists!$B$4:$B$15,MATCH(A105,Lists!$C$4:$C$15,1))))</f>
        <v/>
      </c>
      <c r="C105" s="28">
        <f>IF(B105="","",IFERROR(INDEX(Lists!$A$4:$A$15,MATCH(B105,Lists!$B$4:$B$15,0)),0))</f>
        <v/>
      </c>
      <c r="D105" s="25" t="n"/>
      <c r="E105" s="24" t="n"/>
      <c r="F105" s="27">
        <f>IF(E105="","",IFERROR(INDEX(Lists!$H$4:$H$40,MATCH(E105,Lists!$F$4:$F$40,0)),"UNMAPPED"))</f>
        <v/>
      </c>
      <c r="G105" s="25" t="n"/>
      <c r="H105" s="25" t="n"/>
      <c r="I105" s="25" t="n"/>
      <c r="J105" s="25" t="n"/>
      <c r="K105" s="25" t="n"/>
      <c r="L105" s="29" t="n"/>
      <c r="M105" s="25" t="n"/>
      <c r="N105" s="30" t="n"/>
      <c r="O105" s="31">
        <f>IF(N105="","",IF(G105="Revenue",ROUND(N105*VATRate,2),0))</f>
        <v/>
      </c>
      <c r="P105" s="31">
        <f>IF(N105="","",N105+O105)</f>
        <v/>
      </c>
    </row>
    <row r="106">
      <c r="A106" s="26" t="n"/>
      <c r="B106" s="27">
        <f>IF(A106="","",IF(OR(A106&lt;MIN(Lists!$C$4:$C$15),A106&gt;MAX(Lists!$D$4:$D$15)),"No period",INDEX(Lists!$B$4:$B$15,MATCH(A106,Lists!$C$4:$C$15,1))))</f>
        <v/>
      </c>
      <c r="C106" s="28">
        <f>IF(B106="","",IFERROR(INDEX(Lists!$A$4:$A$15,MATCH(B106,Lists!$B$4:$B$15,0)),0))</f>
        <v/>
      </c>
      <c r="D106" s="25" t="n"/>
      <c r="E106" s="24" t="n"/>
      <c r="F106" s="27">
        <f>IF(E106="","",IFERROR(INDEX(Lists!$H$4:$H$40,MATCH(E106,Lists!$F$4:$F$40,0)),"UNMAPPED"))</f>
        <v/>
      </c>
      <c r="G106" s="25" t="n"/>
      <c r="H106" s="25" t="n"/>
      <c r="I106" s="25" t="n"/>
      <c r="J106" s="25" t="n"/>
      <c r="K106" s="25" t="n"/>
      <c r="L106" s="29" t="n"/>
      <c r="M106" s="25" t="n"/>
      <c r="N106" s="30" t="n"/>
      <c r="O106" s="31">
        <f>IF(N106="","",IF(G106="Revenue",ROUND(N106*VATRate,2),0))</f>
        <v/>
      </c>
      <c r="P106" s="31">
        <f>IF(N106="","",N106+O106)</f>
        <v/>
      </c>
    </row>
    <row r="107">
      <c r="A107" s="26" t="n"/>
      <c r="B107" s="27">
        <f>IF(A107="","",IF(OR(A107&lt;MIN(Lists!$C$4:$C$15),A107&gt;MAX(Lists!$D$4:$D$15)),"No period",INDEX(Lists!$B$4:$B$15,MATCH(A107,Lists!$C$4:$C$15,1))))</f>
        <v/>
      </c>
      <c r="C107" s="28">
        <f>IF(B107="","",IFERROR(INDEX(Lists!$A$4:$A$15,MATCH(B107,Lists!$B$4:$B$15,0)),0))</f>
        <v/>
      </c>
      <c r="D107" s="25" t="n"/>
      <c r="E107" s="24" t="n"/>
      <c r="F107" s="27">
        <f>IF(E107="","",IFERROR(INDEX(Lists!$H$4:$H$40,MATCH(E107,Lists!$F$4:$F$40,0)),"UNMAPPED"))</f>
        <v/>
      </c>
      <c r="G107" s="25" t="n"/>
      <c r="H107" s="25" t="n"/>
      <c r="I107" s="25" t="n"/>
      <c r="J107" s="25" t="n"/>
      <c r="K107" s="25" t="n"/>
      <c r="L107" s="29" t="n"/>
      <c r="M107" s="25" t="n"/>
      <c r="N107" s="30" t="n"/>
      <c r="O107" s="31">
        <f>IF(N107="","",IF(G107="Revenue",ROUND(N107*VATRate,2),0))</f>
        <v/>
      </c>
      <c r="P107" s="31">
        <f>IF(N107="","",N107+O107)</f>
        <v/>
      </c>
    </row>
    <row r="108">
      <c r="A108" s="26" t="n"/>
      <c r="B108" s="27">
        <f>IF(A108="","",IF(OR(A108&lt;MIN(Lists!$C$4:$C$15),A108&gt;MAX(Lists!$D$4:$D$15)),"No period",INDEX(Lists!$B$4:$B$15,MATCH(A108,Lists!$C$4:$C$15,1))))</f>
        <v/>
      </c>
      <c r="C108" s="28">
        <f>IF(B108="","",IFERROR(INDEX(Lists!$A$4:$A$15,MATCH(B108,Lists!$B$4:$B$15,0)),0))</f>
        <v/>
      </c>
      <c r="D108" s="25" t="n"/>
      <c r="E108" s="24" t="n"/>
      <c r="F108" s="27">
        <f>IF(E108="","",IFERROR(INDEX(Lists!$H$4:$H$40,MATCH(E108,Lists!$F$4:$F$40,0)),"UNMAPPED"))</f>
        <v/>
      </c>
      <c r="G108" s="25" t="n"/>
      <c r="H108" s="25" t="n"/>
      <c r="I108" s="25" t="n"/>
      <c r="J108" s="25" t="n"/>
      <c r="K108" s="25" t="n"/>
      <c r="L108" s="29" t="n"/>
      <c r="M108" s="25" t="n"/>
      <c r="N108" s="30" t="n"/>
      <c r="O108" s="31">
        <f>IF(N108="","",IF(G108="Revenue",ROUND(N108*VATRate,2),0))</f>
        <v/>
      </c>
      <c r="P108" s="31">
        <f>IF(N108="","",N108+O108)</f>
        <v/>
      </c>
    </row>
    <row r="109">
      <c r="A109" s="26" t="n"/>
      <c r="B109" s="27">
        <f>IF(A109="","",IF(OR(A109&lt;MIN(Lists!$C$4:$C$15),A109&gt;MAX(Lists!$D$4:$D$15)),"No period",INDEX(Lists!$B$4:$B$15,MATCH(A109,Lists!$C$4:$C$15,1))))</f>
        <v/>
      </c>
      <c r="C109" s="28">
        <f>IF(B109="","",IFERROR(INDEX(Lists!$A$4:$A$15,MATCH(B109,Lists!$B$4:$B$15,0)),0))</f>
        <v/>
      </c>
      <c r="D109" s="25" t="n"/>
      <c r="E109" s="24" t="n"/>
      <c r="F109" s="27">
        <f>IF(E109="","",IFERROR(INDEX(Lists!$H$4:$H$40,MATCH(E109,Lists!$F$4:$F$40,0)),"UNMAPPED"))</f>
        <v/>
      </c>
      <c r="G109" s="25" t="n"/>
      <c r="H109" s="25" t="n"/>
      <c r="I109" s="25" t="n"/>
      <c r="J109" s="25" t="n"/>
      <c r="K109" s="25" t="n"/>
      <c r="L109" s="29" t="n"/>
      <c r="M109" s="25" t="n"/>
      <c r="N109" s="30" t="n"/>
      <c r="O109" s="31">
        <f>IF(N109="","",IF(G109="Revenue",ROUND(N109*VATRate,2),0))</f>
        <v/>
      </c>
      <c r="P109" s="31">
        <f>IF(N109="","",N109+O109)</f>
        <v/>
      </c>
    </row>
    <row r="110">
      <c r="A110" s="26" t="n"/>
      <c r="B110" s="27">
        <f>IF(A110="","",IF(OR(A110&lt;MIN(Lists!$C$4:$C$15),A110&gt;MAX(Lists!$D$4:$D$15)),"No period",INDEX(Lists!$B$4:$B$15,MATCH(A110,Lists!$C$4:$C$15,1))))</f>
        <v/>
      </c>
      <c r="C110" s="28">
        <f>IF(B110="","",IFERROR(INDEX(Lists!$A$4:$A$15,MATCH(B110,Lists!$B$4:$B$15,0)),0))</f>
        <v/>
      </c>
      <c r="D110" s="25" t="n"/>
      <c r="E110" s="24" t="n"/>
      <c r="F110" s="27">
        <f>IF(E110="","",IFERROR(INDEX(Lists!$H$4:$H$40,MATCH(E110,Lists!$F$4:$F$40,0)),"UNMAPPED"))</f>
        <v/>
      </c>
      <c r="G110" s="25" t="n"/>
      <c r="H110" s="25" t="n"/>
      <c r="I110" s="25" t="n"/>
      <c r="J110" s="25" t="n"/>
      <c r="K110" s="25" t="n"/>
      <c r="L110" s="29" t="n"/>
      <c r="M110" s="25" t="n"/>
      <c r="N110" s="30" t="n"/>
      <c r="O110" s="31">
        <f>IF(N110="","",IF(G110="Revenue",ROUND(N110*VATRate,2),0))</f>
        <v/>
      </c>
      <c r="P110" s="31">
        <f>IF(N110="","",N110+O110)</f>
        <v/>
      </c>
    </row>
    <row r="111">
      <c r="A111" s="26" t="n"/>
      <c r="B111" s="27">
        <f>IF(A111="","",IF(OR(A111&lt;MIN(Lists!$C$4:$C$15),A111&gt;MAX(Lists!$D$4:$D$15)),"No period",INDEX(Lists!$B$4:$B$15,MATCH(A111,Lists!$C$4:$C$15,1))))</f>
        <v/>
      </c>
      <c r="C111" s="28">
        <f>IF(B111="","",IFERROR(INDEX(Lists!$A$4:$A$15,MATCH(B111,Lists!$B$4:$B$15,0)),0))</f>
        <v/>
      </c>
      <c r="D111" s="25" t="n"/>
      <c r="E111" s="24" t="n"/>
      <c r="F111" s="27">
        <f>IF(E111="","",IFERROR(INDEX(Lists!$H$4:$H$40,MATCH(E111,Lists!$F$4:$F$40,0)),"UNMAPPED"))</f>
        <v/>
      </c>
      <c r="G111" s="25" t="n"/>
      <c r="H111" s="25" t="n"/>
      <c r="I111" s="25" t="n"/>
      <c r="J111" s="25" t="n"/>
      <c r="K111" s="25" t="n"/>
      <c r="L111" s="29" t="n"/>
      <c r="M111" s="25" t="n"/>
      <c r="N111" s="30" t="n"/>
      <c r="O111" s="31">
        <f>IF(N111="","",IF(G111="Revenue",ROUND(N111*VATRate,2),0))</f>
        <v/>
      </c>
      <c r="P111" s="31">
        <f>IF(N111="","",N111+O111)</f>
        <v/>
      </c>
    </row>
    <row r="112">
      <c r="A112" s="26" t="n"/>
      <c r="B112" s="27">
        <f>IF(A112="","",IF(OR(A112&lt;MIN(Lists!$C$4:$C$15),A112&gt;MAX(Lists!$D$4:$D$15)),"No period",INDEX(Lists!$B$4:$B$15,MATCH(A112,Lists!$C$4:$C$15,1))))</f>
        <v/>
      </c>
      <c r="C112" s="28">
        <f>IF(B112="","",IFERROR(INDEX(Lists!$A$4:$A$15,MATCH(B112,Lists!$B$4:$B$15,0)),0))</f>
        <v/>
      </c>
      <c r="D112" s="25" t="n"/>
      <c r="E112" s="24" t="n"/>
      <c r="F112" s="27">
        <f>IF(E112="","",IFERROR(INDEX(Lists!$H$4:$H$40,MATCH(E112,Lists!$F$4:$F$40,0)),"UNMAPPED"))</f>
        <v/>
      </c>
      <c r="G112" s="25" t="n"/>
      <c r="H112" s="25" t="n"/>
      <c r="I112" s="25" t="n"/>
      <c r="J112" s="25" t="n"/>
      <c r="K112" s="25" t="n"/>
      <c r="L112" s="29" t="n"/>
      <c r="M112" s="25" t="n"/>
      <c r="N112" s="30" t="n"/>
      <c r="O112" s="31">
        <f>IF(N112="","",IF(G112="Revenue",ROUND(N112*VATRate,2),0))</f>
        <v/>
      </c>
      <c r="P112" s="31">
        <f>IF(N112="","",N112+O112)</f>
        <v/>
      </c>
    </row>
    <row r="113">
      <c r="A113" s="26" t="n"/>
      <c r="B113" s="27">
        <f>IF(A113="","",IF(OR(A113&lt;MIN(Lists!$C$4:$C$15),A113&gt;MAX(Lists!$D$4:$D$15)),"No period",INDEX(Lists!$B$4:$B$15,MATCH(A113,Lists!$C$4:$C$15,1))))</f>
        <v/>
      </c>
      <c r="C113" s="28">
        <f>IF(B113="","",IFERROR(INDEX(Lists!$A$4:$A$15,MATCH(B113,Lists!$B$4:$B$15,0)),0))</f>
        <v/>
      </c>
      <c r="D113" s="25" t="n"/>
      <c r="E113" s="24" t="n"/>
      <c r="F113" s="27">
        <f>IF(E113="","",IFERROR(INDEX(Lists!$H$4:$H$40,MATCH(E113,Lists!$F$4:$F$40,0)),"UNMAPPED"))</f>
        <v/>
      </c>
      <c r="G113" s="25" t="n"/>
      <c r="H113" s="25" t="n"/>
      <c r="I113" s="25" t="n"/>
      <c r="J113" s="25" t="n"/>
      <c r="K113" s="25" t="n"/>
      <c r="L113" s="29" t="n"/>
      <c r="M113" s="25" t="n"/>
      <c r="N113" s="30" t="n"/>
      <c r="O113" s="31">
        <f>IF(N113="","",IF(G113="Revenue",ROUND(N113*VATRate,2),0))</f>
        <v/>
      </c>
      <c r="P113" s="31">
        <f>IF(N113="","",N113+O113)</f>
        <v/>
      </c>
    </row>
    <row r="114">
      <c r="A114" s="26" t="n"/>
      <c r="B114" s="27">
        <f>IF(A114="","",IF(OR(A114&lt;MIN(Lists!$C$4:$C$15),A114&gt;MAX(Lists!$D$4:$D$15)),"No period",INDEX(Lists!$B$4:$B$15,MATCH(A114,Lists!$C$4:$C$15,1))))</f>
        <v/>
      </c>
      <c r="C114" s="28">
        <f>IF(B114="","",IFERROR(INDEX(Lists!$A$4:$A$15,MATCH(B114,Lists!$B$4:$B$15,0)),0))</f>
        <v/>
      </c>
      <c r="D114" s="25" t="n"/>
      <c r="E114" s="24" t="n"/>
      <c r="F114" s="27">
        <f>IF(E114="","",IFERROR(INDEX(Lists!$H$4:$H$40,MATCH(E114,Lists!$F$4:$F$40,0)),"UNMAPPED"))</f>
        <v/>
      </c>
      <c r="G114" s="25" t="n"/>
      <c r="H114" s="25" t="n"/>
      <c r="I114" s="25" t="n"/>
      <c r="J114" s="25" t="n"/>
      <c r="K114" s="25" t="n"/>
      <c r="L114" s="29" t="n"/>
      <c r="M114" s="25" t="n"/>
      <c r="N114" s="30" t="n"/>
      <c r="O114" s="31">
        <f>IF(N114="","",IF(G114="Revenue",ROUND(N114*VATRate,2),0))</f>
        <v/>
      </c>
      <c r="P114" s="31">
        <f>IF(N114="","",N114+O114)</f>
        <v/>
      </c>
    </row>
    <row r="115">
      <c r="A115" s="26" t="n"/>
      <c r="B115" s="27">
        <f>IF(A115="","",IF(OR(A115&lt;MIN(Lists!$C$4:$C$15),A115&gt;MAX(Lists!$D$4:$D$15)),"No period",INDEX(Lists!$B$4:$B$15,MATCH(A115,Lists!$C$4:$C$15,1))))</f>
        <v/>
      </c>
      <c r="C115" s="28">
        <f>IF(B115="","",IFERROR(INDEX(Lists!$A$4:$A$15,MATCH(B115,Lists!$B$4:$B$15,0)),0))</f>
        <v/>
      </c>
      <c r="D115" s="25" t="n"/>
      <c r="E115" s="24" t="n"/>
      <c r="F115" s="27">
        <f>IF(E115="","",IFERROR(INDEX(Lists!$H$4:$H$40,MATCH(E115,Lists!$F$4:$F$40,0)),"UNMAPPED"))</f>
        <v/>
      </c>
      <c r="G115" s="25" t="n"/>
      <c r="H115" s="25" t="n"/>
      <c r="I115" s="25" t="n"/>
      <c r="J115" s="25" t="n"/>
      <c r="K115" s="25" t="n"/>
      <c r="L115" s="29" t="n"/>
      <c r="M115" s="25" t="n"/>
      <c r="N115" s="30" t="n"/>
      <c r="O115" s="31">
        <f>IF(N115="","",IF(G115="Revenue",ROUND(N115*VATRate,2),0))</f>
        <v/>
      </c>
      <c r="P115" s="31">
        <f>IF(N115="","",N115+O115)</f>
        <v/>
      </c>
    </row>
    <row r="116">
      <c r="A116" s="26" t="n"/>
      <c r="B116" s="27">
        <f>IF(A116="","",IF(OR(A116&lt;MIN(Lists!$C$4:$C$15),A116&gt;MAX(Lists!$D$4:$D$15)),"No period",INDEX(Lists!$B$4:$B$15,MATCH(A116,Lists!$C$4:$C$15,1))))</f>
        <v/>
      </c>
      <c r="C116" s="28">
        <f>IF(B116="","",IFERROR(INDEX(Lists!$A$4:$A$15,MATCH(B116,Lists!$B$4:$B$15,0)),0))</f>
        <v/>
      </c>
      <c r="D116" s="25" t="n"/>
      <c r="E116" s="24" t="n"/>
      <c r="F116" s="27">
        <f>IF(E116="","",IFERROR(INDEX(Lists!$H$4:$H$40,MATCH(E116,Lists!$F$4:$F$40,0)),"UNMAPPED"))</f>
        <v/>
      </c>
      <c r="G116" s="25" t="n"/>
      <c r="H116" s="25" t="n"/>
      <c r="I116" s="25" t="n"/>
      <c r="J116" s="25" t="n"/>
      <c r="K116" s="25" t="n"/>
      <c r="L116" s="29" t="n"/>
      <c r="M116" s="25" t="n"/>
      <c r="N116" s="30" t="n"/>
      <c r="O116" s="31">
        <f>IF(N116="","",IF(G116="Revenue",ROUND(N116*VATRate,2),0))</f>
        <v/>
      </c>
      <c r="P116" s="31">
        <f>IF(N116="","",N116+O116)</f>
        <v/>
      </c>
    </row>
    <row r="117">
      <c r="A117" s="26" t="n"/>
      <c r="B117" s="27">
        <f>IF(A117="","",IF(OR(A117&lt;MIN(Lists!$C$4:$C$15),A117&gt;MAX(Lists!$D$4:$D$15)),"No period",INDEX(Lists!$B$4:$B$15,MATCH(A117,Lists!$C$4:$C$15,1))))</f>
        <v/>
      </c>
      <c r="C117" s="28">
        <f>IF(B117="","",IFERROR(INDEX(Lists!$A$4:$A$15,MATCH(B117,Lists!$B$4:$B$15,0)),0))</f>
        <v/>
      </c>
      <c r="D117" s="25" t="n"/>
      <c r="E117" s="24" t="n"/>
      <c r="F117" s="27">
        <f>IF(E117="","",IFERROR(INDEX(Lists!$H$4:$H$40,MATCH(E117,Lists!$F$4:$F$40,0)),"UNMAPPED"))</f>
        <v/>
      </c>
      <c r="G117" s="25" t="n"/>
      <c r="H117" s="25" t="n"/>
      <c r="I117" s="25" t="n"/>
      <c r="J117" s="25" t="n"/>
      <c r="K117" s="25" t="n"/>
      <c r="L117" s="29" t="n"/>
      <c r="M117" s="25" t="n"/>
      <c r="N117" s="30" t="n"/>
      <c r="O117" s="31">
        <f>IF(N117="","",IF(G117="Revenue",ROUND(N117*VATRate,2),0))</f>
        <v/>
      </c>
      <c r="P117" s="31">
        <f>IF(N117="","",N117+O117)</f>
        <v/>
      </c>
    </row>
    <row r="118">
      <c r="A118" s="26" t="n"/>
      <c r="B118" s="27">
        <f>IF(A118="","",IF(OR(A118&lt;MIN(Lists!$C$4:$C$15),A118&gt;MAX(Lists!$D$4:$D$15)),"No period",INDEX(Lists!$B$4:$B$15,MATCH(A118,Lists!$C$4:$C$15,1))))</f>
        <v/>
      </c>
      <c r="C118" s="28">
        <f>IF(B118="","",IFERROR(INDEX(Lists!$A$4:$A$15,MATCH(B118,Lists!$B$4:$B$15,0)),0))</f>
        <v/>
      </c>
      <c r="D118" s="25" t="n"/>
      <c r="E118" s="24" t="n"/>
      <c r="F118" s="27">
        <f>IF(E118="","",IFERROR(INDEX(Lists!$H$4:$H$40,MATCH(E118,Lists!$F$4:$F$40,0)),"UNMAPPED"))</f>
        <v/>
      </c>
      <c r="G118" s="25" t="n"/>
      <c r="H118" s="25" t="n"/>
      <c r="I118" s="25" t="n"/>
      <c r="J118" s="25" t="n"/>
      <c r="K118" s="25" t="n"/>
      <c r="L118" s="29" t="n"/>
      <c r="M118" s="25" t="n"/>
      <c r="N118" s="30" t="n"/>
      <c r="O118" s="31">
        <f>IF(N118="","",IF(G118="Revenue",ROUND(N118*VATRate,2),0))</f>
        <v/>
      </c>
      <c r="P118" s="31">
        <f>IF(N118="","",N118+O118)</f>
        <v/>
      </c>
    </row>
    <row r="119">
      <c r="A119" s="26" t="n"/>
      <c r="B119" s="27">
        <f>IF(A119="","",IF(OR(A119&lt;MIN(Lists!$C$4:$C$15),A119&gt;MAX(Lists!$D$4:$D$15)),"No period",INDEX(Lists!$B$4:$B$15,MATCH(A119,Lists!$C$4:$C$15,1))))</f>
        <v/>
      </c>
      <c r="C119" s="28">
        <f>IF(B119="","",IFERROR(INDEX(Lists!$A$4:$A$15,MATCH(B119,Lists!$B$4:$B$15,0)),0))</f>
        <v/>
      </c>
      <c r="D119" s="25" t="n"/>
      <c r="E119" s="24" t="n"/>
      <c r="F119" s="27">
        <f>IF(E119="","",IFERROR(INDEX(Lists!$H$4:$H$40,MATCH(E119,Lists!$F$4:$F$40,0)),"UNMAPPED"))</f>
        <v/>
      </c>
      <c r="G119" s="25" t="n"/>
      <c r="H119" s="25" t="n"/>
      <c r="I119" s="25" t="n"/>
      <c r="J119" s="25" t="n"/>
      <c r="K119" s="25" t="n"/>
      <c r="L119" s="29" t="n"/>
      <c r="M119" s="25" t="n"/>
      <c r="N119" s="30" t="n"/>
      <c r="O119" s="31">
        <f>IF(N119="","",IF(G119="Revenue",ROUND(N119*VATRate,2),0))</f>
        <v/>
      </c>
      <c r="P119" s="31">
        <f>IF(N119="","",N119+O119)</f>
        <v/>
      </c>
    </row>
    <row r="120">
      <c r="A120" s="26" t="n"/>
      <c r="B120" s="27">
        <f>IF(A120="","",IF(OR(A120&lt;MIN(Lists!$C$4:$C$15),A120&gt;MAX(Lists!$D$4:$D$15)),"No period",INDEX(Lists!$B$4:$B$15,MATCH(A120,Lists!$C$4:$C$15,1))))</f>
        <v/>
      </c>
      <c r="C120" s="28">
        <f>IF(B120="","",IFERROR(INDEX(Lists!$A$4:$A$15,MATCH(B120,Lists!$B$4:$B$15,0)),0))</f>
        <v/>
      </c>
      <c r="D120" s="25" t="n"/>
      <c r="E120" s="24" t="n"/>
      <c r="F120" s="27">
        <f>IF(E120="","",IFERROR(INDEX(Lists!$H$4:$H$40,MATCH(E120,Lists!$F$4:$F$40,0)),"UNMAPPED"))</f>
        <v/>
      </c>
      <c r="G120" s="25" t="n"/>
      <c r="H120" s="25" t="n"/>
      <c r="I120" s="25" t="n"/>
      <c r="J120" s="25" t="n"/>
      <c r="K120" s="25" t="n"/>
      <c r="L120" s="29" t="n"/>
      <c r="M120" s="25" t="n"/>
      <c r="N120" s="30" t="n"/>
      <c r="O120" s="31">
        <f>IF(N120="","",IF(G120="Revenue",ROUND(N120*VATRate,2),0))</f>
        <v/>
      </c>
      <c r="P120" s="31">
        <f>IF(N120="","",N120+O120)</f>
        <v/>
      </c>
    </row>
    <row r="121">
      <c r="A121" s="26" t="n"/>
      <c r="B121" s="27">
        <f>IF(A121="","",IF(OR(A121&lt;MIN(Lists!$C$4:$C$15),A121&gt;MAX(Lists!$D$4:$D$15)),"No period",INDEX(Lists!$B$4:$B$15,MATCH(A121,Lists!$C$4:$C$15,1))))</f>
        <v/>
      </c>
      <c r="C121" s="28">
        <f>IF(B121="","",IFERROR(INDEX(Lists!$A$4:$A$15,MATCH(B121,Lists!$B$4:$B$15,0)),0))</f>
        <v/>
      </c>
      <c r="D121" s="25" t="n"/>
      <c r="E121" s="24" t="n"/>
      <c r="F121" s="27">
        <f>IF(E121="","",IFERROR(INDEX(Lists!$H$4:$H$40,MATCH(E121,Lists!$F$4:$F$40,0)),"UNMAPPED"))</f>
        <v/>
      </c>
      <c r="G121" s="25" t="n"/>
      <c r="H121" s="25" t="n"/>
      <c r="I121" s="25" t="n"/>
      <c r="J121" s="25" t="n"/>
      <c r="K121" s="25" t="n"/>
      <c r="L121" s="29" t="n"/>
      <c r="M121" s="25" t="n"/>
      <c r="N121" s="30" t="n"/>
      <c r="O121" s="31">
        <f>IF(N121="","",IF(G121="Revenue",ROUND(N121*VATRate,2),0))</f>
        <v/>
      </c>
      <c r="P121" s="31">
        <f>IF(N121="","",N121+O121)</f>
        <v/>
      </c>
    </row>
    <row r="122">
      <c r="A122" s="26" t="n"/>
      <c r="B122" s="27">
        <f>IF(A122="","",IF(OR(A122&lt;MIN(Lists!$C$4:$C$15),A122&gt;MAX(Lists!$D$4:$D$15)),"No period",INDEX(Lists!$B$4:$B$15,MATCH(A122,Lists!$C$4:$C$15,1))))</f>
        <v/>
      </c>
      <c r="C122" s="28">
        <f>IF(B122="","",IFERROR(INDEX(Lists!$A$4:$A$15,MATCH(B122,Lists!$B$4:$B$15,0)),0))</f>
        <v/>
      </c>
      <c r="D122" s="25" t="n"/>
      <c r="E122" s="24" t="n"/>
      <c r="F122" s="27">
        <f>IF(E122="","",IFERROR(INDEX(Lists!$H$4:$H$40,MATCH(E122,Lists!$F$4:$F$40,0)),"UNMAPPED"))</f>
        <v/>
      </c>
      <c r="G122" s="25" t="n"/>
      <c r="H122" s="25" t="n"/>
      <c r="I122" s="25" t="n"/>
      <c r="J122" s="25" t="n"/>
      <c r="K122" s="25" t="n"/>
      <c r="L122" s="29" t="n"/>
      <c r="M122" s="25" t="n"/>
      <c r="N122" s="30" t="n"/>
      <c r="O122" s="31">
        <f>IF(N122="","",IF(G122="Revenue",ROUND(N122*VATRate,2),0))</f>
        <v/>
      </c>
      <c r="P122" s="31">
        <f>IF(N122="","",N122+O122)</f>
        <v/>
      </c>
    </row>
    <row r="123">
      <c r="A123" s="26" t="n"/>
      <c r="B123" s="27">
        <f>IF(A123="","",IF(OR(A123&lt;MIN(Lists!$C$4:$C$15),A123&gt;MAX(Lists!$D$4:$D$15)),"No period",INDEX(Lists!$B$4:$B$15,MATCH(A123,Lists!$C$4:$C$15,1))))</f>
        <v/>
      </c>
      <c r="C123" s="28">
        <f>IF(B123="","",IFERROR(INDEX(Lists!$A$4:$A$15,MATCH(B123,Lists!$B$4:$B$15,0)),0))</f>
        <v/>
      </c>
      <c r="D123" s="25" t="n"/>
      <c r="E123" s="24" t="n"/>
      <c r="F123" s="27">
        <f>IF(E123="","",IFERROR(INDEX(Lists!$H$4:$H$40,MATCH(E123,Lists!$F$4:$F$40,0)),"UNMAPPED"))</f>
        <v/>
      </c>
      <c r="G123" s="25" t="n"/>
      <c r="H123" s="25" t="n"/>
      <c r="I123" s="25" t="n"/>
      <c r="J123" s="25" t="n"/>
      <c r="K123" s="25" t="n"/>
      <c r="L123" s="29" t="n"/>
      <c r="M123" s="25" t="n"/>
      <c r="N123" s="30" t="n"/>
      <c r="O123" s="31">
        <f>IF(N123="","",IF(G123="Revenue",ROUND(N123*VATRate,2),0))</f>
        <v/>
      </c>
      <c r="P123" s="31">
        <f>IF(N123="","",N123+O123)</f>
        <v/>
      </c>
    </row>
    <row r="124">
      <c r="A124" s="26" t="n"/>
      <c r="B124" s="27">
        <f>IF(A124="","",IF(OR(A124&lt;MIN(Lists!$C$4:$C$15),A124&gt;MAX(Lists!$D$4:$D$15)),"No period",INDEX(Lists!$B$4:$B$15,MATCH(A124,Lists!$C$4:$C$15,1))))</f>
        <v/>
      </c>
      <c r="C124" s="28">
        <f>IF(B124="","",IFERROR(INDEX(Lists!$A$4:$A$15,MATCH(B124,Lists!$B$4:$B$15,0)),0))</f>
        <v/>
      </c>
      <c r="D124" s="25" t="n"/>
      <c r="E124" s="24" t="n"/>
      <c r="F124" s="27">
        <f>IF(E124="","",IFERROR(INDEX(Lists!$H$4:$H$40,MATCH(E124,Lists!$F$4:$F$40,0)),"UNMAPPED"))</f>
        <v/>
      </c>
      <c r="G124" s="25" t="n"/>
      <c r="H124" s="25" t="n"/>
      <c r="I124" s="25" t="n"/>
      <c r="J124" s="25" t="n"/>
      <c r="K124" s="25" t="n"/>
      <c r="L124" s="29" t="n"/>
      <c r="M124" s="25" t="n"/>
      <c r="N124" s="30" t="n"/>
      <c r="O124" s="31">
        <f>IF(N124="","",IF(G124="Revenue",ROUND(N124*VATRate,2),0))</f>
        <v/>
      </c>
      <c r="P124" s="31">
        <f>IF(N124="","",N124+O124)</f>
        <v/>
      </c>
    </row>
    <row r="125">
      <c r="A125" s="26" t="n"/>
      <c r="B125" s="27">
        <f>IF(A125="","",IF(OR(A125&lt;MIN(Lists!$C$4:$C$15),A125&gt;MAX(Lists!$D$4:$D$15)),"No period",INDEX(Lists!$B$4:$B$15,MATCH(A125,Lists!$C$4:$C$15,1))))</f>
        <v/>
      </c>
      <c r="C125" s="28">
        <f>IF(B125="","",IFERROR(INDEX(Lists!$A$4:$A$15,MATCH(B125,Lists!$B$4:$B$15,0)),0))</f>
        <v/>
      </c>
      <c r="D125" s="25" t="n"/>
      <c r="E125" s="24" t="n"/>
      <c r="F125" s="27">
        <f>IF(E125="","",IFERROR(INDEX(Lists!$H$4:$H$40,MATCH(E125,Lists!$F$4:$F$40,0)),"UNMAPPED"))</f>
        <v/>
      </c>
      <c r="G125" s="25" t="n"/>
      <c r="H125" s="25" t="n"/>
      <c r="I125" s="25" t="n"/>
      <c r="J125" s="25" t="n"/>
      <c r="K125" s="25" t="n"/>
      <c r="L125" s="29" t="n"/>
      <c r="M125" s="25" t="n"/>
      <c r="N125" s="30" t="n"/>
      <c r="O125" s="31">
        <f>IF(N125="","",IF(G125="Revenue",ROUND(N125*VATRate,2),0))</f>
        <v/>
      </c>
      <c r="P125" s="31">
        <f>IF(N125="","",N125+O125)</f>
        <v/>
      </c>
    </row>
    <row r="126">
      <c r="A126" s="26" t="n"/>
      <c r="B126" s="27">
        <f>IF(A126="","",IF(OR(A126&lt;MIN(Lists!$C$4:$C$15),A126&gt;MAX(Lists!$D$4:$D$15)),"No period",INDEX(Lists!$B$4:$B$15,MATCH(A126,Lists!$C$4:$C$15,1))))</f>
        <v/>
      </c>
      <c r="C126" s="28">
        <f>IF(B126="","",IFERROR(INDEX(Lists!$A$4:$A$15,MATCH(B126,Lists!$B$4:$B$15,0)),0))</f>
        <v/>
      </c>
      <c r="D126" s="25" t="n"/>
      <c r="E126" s="24" t="n"/>
      <c r="F126" s="27">
        <f>IF(E126="","",IFERROR(INDEX(Lists!$H$4:$H$40,MATCH(E126,Lists!$F$4:$F$40,0)),"UNMAPPED"))</f>
        <v/>
      </c>
      <c r="G126" s="25" t="n"/>
      <c r="H126" s="25" t="n"/>
      <c r="I126" s="25" t="n"/>
      <c r="J126" s="25" t="n"/>
      <c r="K126" s="25" t="n"/>
      <c r="L126" s="29" t="n"/>
      <c r="M126" s="25" t="n"/>
      <c r="N126" s="30" t="n"/>
      <c r="O126" s="31">
        <f>IF(N126="","",IF(G126="Revenue",ROUND(N126*VATRate,2),0))</f>
        <v/>
      </c>
      <c r="P126" s="31">
        <f>IF(N126="","",N126+O126)</f>
        <v/>
      </c>
    </row>
    <row r="127">
      <c r="A127" s="26" t="n"/>
      <c r="B127" s="27">
        <f>IF(A127="","",IF(OR(A127&lt;MIN(Lists!$C$4:$C$15),A127&gt;MAX(Lists!$D$4:$D$15)),"No period",INDEX(Lists!$B$4:$B$15,MATCH(A127,Lists!$C$4:$C$15,1))))</f>
        <v/>
      </c>
      <c r="C127" s="28">
        <f>IF(B127="","",IFERROR(INDEX(Lists!$A$4:$A$15,MATCH(B127,Lists!$B$4:$B$15,0)),0))</f>
        <v/>
      </c>
      <c r="D127" s="25" t="n"/>
      <c r="E127" s="24" t="n"/>
      <c r="F127" s="27">
        <f>IF(E127="","",IFERROR(INDEX(Lists!$H$4:$H$40,MATCH(E127,Lists!$F$4:$F$40,0)),"UNMAPPED"))</f>
        <v/>
      </c>
      <c r="G127" s="25" t="n"/>
      <c r="H127" s="25" t="n"/>
      <c r="I127" s="25" t="n"/>
      <c r="J127" s="25" t="n"/>
      <c r="K127" s="25" t="n"/>
      <c r="L127" s="29" t="n"/>
      <c r="M127" s="25" t="n"/>
      <c r="N127" s="30" t="n"/>
      <c r="O127" s="31">
        <f>IF(N127="","",IF(G127="Revenue",ROUND(N127*VATRate,2),0))</f>
        <v/>
      </c>
      <c r="P127" s="31">
        <f>IF(N127="","",N127+O127)</f>
        <v/>
      </c>
    </row>
    <row r="128">
      <c r="A128" s="26" t="n"/>
      <c r="B128" s="27">
        <f>IF(A128="","",IF(OR(A128&lt;MIN(Lists!$C$4:$C$15),A128&gt;MAX(Lists!$D$4:$D$15)),"No period",INDEX(Lists!$B$4:$B$15,MATCH(A128,Lists!$C$4:$C$15,1))))</f>
        <v/>
      </c>
      <c r="C128" s="28">
        <f>IF(B128="","",IFERROR(INDEX(Lists!$A$4:$A$15,MATCH(B128,Lists!$B$4:$B$15,0)),0))</f>
        <v/>
      </c>
      <c r="D128" s="25" t="n"/>
      <c r="E128" s="24" t="n"/>
      <c r="F128" s="27">
        <f>IF(E128="","",IFERROR(INDEX(Lists!$H$4:$H$40,MATCH(E128,Lists!$F$4:$F$40,0)),"UNMAPPED"))</f>
        <v/>
      </c>
      <c r="G128" s="25" t="n"/>
      <c r="H128" s="25" t="n"/>
      <c r="I128" s="25" t="n"/>
      <c r="J128" s="25" t="n"/>
      <c r="K128" s="25" t="n"/>
      <c r="L128" s="29" t="n"/>
      <c r="M128" s="25" t="n"/>
      <c r="N128" s="30" t="n"/>
      <c r="O128" s="31">
        <f>IF(N128="","",IF(G128="Revenue",ROUND(N128*VATRate,2),0))</f>
        <v/>
      </c>
      <c r="P128" s="31">
        <f>IF(N128="","",N128+O128)</f>
        <v/>
      </c>
    </row>
    <row r="129">
      <c r="A129" s="26" t="n"/>
      <c r="B129" s="27">
        <f>IF(A129="","",IF(OR(A129&lt;MIN(Lists!$C$4:$C$15),A129&gt;MAX(Lists!$D$4:$D$15)),"No period",INDEX(Lists!$B$4:$B$15,MATCH(A129,Lists!$C$4:$C$15,1))))</f>
        <v/>
      </c>
      <c r="C129" s="28">
        <f>IF(B129="","",IFERROR(INDEX(Lists!$A$4:$A$15,MATCH(B129,Lists!$B$4:$B$15,0)),0))</f>
        <v/>
      </c>
      <c r="D129" s="25" t="n"/>
      <c r="E129" s="24" t="n"/>
      <c r="F129" s="27">
        <f>IF(E129="","",IFERROR(INDEX(Lists!$H$4:$H$40,MATCH(E129,Lists!$F$4:$F$40,0)),"UNMAPPED"))</f>
        <v/>
      </c>
      <c r="G129" s="25" t="n"/>
      <c r="H129" s="25" t="n"/>
      <c r="I129" s="25" t="n"/>
      <c r="J129" s="25" t="n"/>
      <c r="K129" s="25" t="n"/>
      <c r="L129" s="29" t="n"/>
      <c r="M129" s="25" t="n"/>
      <c r="N129" s="30" t="n"/>
      <c r="O129" s="31">
        <f>IF(N129="","",IF(G129="Revenue",ROUND(N129*VATRate,2),0))</f>
        <v/>
      </c>
      <c r="P129" s="31">
        <f>IF(N129="","",N129+O129)</f>
        <v/>
      </c>
    </row>
    <row r="130">
      <c r="A130" s="26" t="n"/>
      <c r="B130" s="27">
        <f>IF(A130="","",IF(OR(A130&lt;MIN(Lists!$C$4:$C$15),A130&gt;MAX(Lists!$D$4:$D$15)),"No period",INDEX(Lists!$B$4:$B$15,MATCH(A130,Lists!$C$4:$C$15,1))))</f>
        <v/>
      </c>
      <c r="C130" s="28">
        <f>IF(B130="","",IFERROR(INDEX(Lists!$A$4:$A$15,MATCH(B130,Lists!$B$4:$B$15,0)),0))</f>
        <v/>
      </c>
      <c r="D130" s="25" t="n"/>
      <c r="E130" s="24" t="n"/>
      <c r="F130" s="27">
        <f>IF(E130="","",IFERROR(INDEX(Lists!$H$4:$H$40,MATCH(E130,Lists!$F$4:$F$40,0)),"UNMAPPED"))</f>
        <v/>
      </c>
      <c r="G130" s="25" t="n"/>
      <c r="H130" s="25" t="n"/>
      <c r="I130" s="25" t="n"/>
      <c r="J130" s="25" t="n"/>
      <c r="K130" s="25" t="n"/>
      <c r="L130" s="29" t="n"/>
      <c r="M130" s="25" t="n"/>
      <c r="N130" s="30" t="n"/>
      <c r="O130" s="31">
        <f>IF(N130="","",IF(G130="Revenue",ROUND(N130*VATRate,2),0))</f>
        <v/>
      </c>
      <c r="P130" s="31">
        <f>IF(N130="","",N130+O130)</f>
        <v/>
      </c>
    </row>
    <row r="131">
      <c r="A131" s="26" t="n"/>
      <c r="B131" s="27">
        <f>IF(A131="","",IF(OR(A131&lt;MIN(Lists!$C$4:$C$15),A131&gt;MAX(Lists!$D$4:$D$15)),"No period",INDEX(Lists!$B$4:$B$15,MATCH(A131,Lists!$C$4:$C$15,1))))</f>
        <v/>
      </c>
      <c r="C131" s="28">
        <f>IF(B131="","",IFERROR(INDEX(Lists!$A$4:$A$15,MATCH(B131,Lists!$B$4:$B$15,0)),0))</f>
        <v/>
      </c>
      <c r="D131" s="25" t="n"/>
      <c r="E131" s="24" t="n"/>
      <c r="F131" s="27">
        <f>IF(E131="","",IFERROR(INDEX(Lists!$H$4:$H$40,MATCH(E131,Lists!$F$4:$F$40,0)),"UNMAPPED"))</f>
        <v/>
      </c>
      <c r="G131" s="25" t="n"/>
      <c r="H131" s="25" t="n"/>
      <c r="I131" s="25" t="n"/>
      <c r="J131" s="25" t="n"/>
      <c r="K131" s="25" t="n"/>
      <c r="L131" s="29" t="n"/>
      <c r="M131" s="25" t="n"/>
      <c r="N131" s="30" t="n"/>
      <c r="O131" s="31">
        <f>IF(N131="","",IF(G131="Revenue",ROUND(N131*VATRate,2),0))</f>
        <v/>
      </c>
      <c r="P131" s="31">
        <f>IF(N131="","",N131+O131)</f>
        <v/>
      </c>
    </row>
    <row r="132">
      <c r="A132" s="26" t="n"/>
      <c r="B132" s="27">
        <f>IF(A132="","",IF(OR(A132&lt;MIN(Lists!$C$4:$C$15),A132&gt;MAX(Lists!$D$4:$D$15)),"No period",INDEX(Lists!$B$4:$B$15,MATCH(A132,Lists!$C$4:$C$15,1))))</f>
        <v/>
      </c>
      <c r="C132" s="28">
        <f>IF(B132="","",IFERROR(INDEX(Lists!$A$4:$A$15,MATCH(B132,Lists!$B$4:$B$15,0)),0))</f>
        <v/>
      </c>
      <c r="D132" s="25" t="n"/>
      <c r="E132" s="24" t="n"/>
      <c r="F132" s="27">
        <f>IF(E132="","",IFERROR(INDEX(Lists!$H$4:$H$40,MATCH(E132,Lists!$F$4:$F$40,0)),"UNMAPPED"))</f>
        <v/>
      </c>
      <c r="G132" s="25" t="n"/>
      <c r="H132" s="25" t="n"/>
      <c r="I132" s="25" t="n"/>
      <c r="J132" s="25" t="n"/>
      <c r="K132" s="25" t="n"/>
      <c r="L132" s="29" t="n"/>
      <c r="M132" s="25" t="n"/>
      <c r="N132" s="30" t="n"/>
      <c r="O132" s="31">
        <f>IF(N132="","",IF(G132="Revenue",ROUND(N132*VATRate,2),0))</f>
        <v/>
      </c>
      <c r="P132" s="31">
        <f>IF(N132="","",N132+O132)</f>
        <v/>
      </c>
    </row>
    <row r="133">
      <c r="A133" s="26" t="n"/>
      <c r="B133" s="27">
        <f>IF(A133="","",IF(OR(A133&lt;MIN(Lists!$C$4:$C$15),A133&gt;MAX(Lists!$D$4:$D$15)),"No period",INDEX(Lists!$B$4:$B$15,MATCH(A133,Lists!$C$4:$C$15,1))))</f>
        <v/>
      </c>
      <c r="C133" s="28">
        <f>IF(B133="","",IFERROR(INDEX(Lists!$A$4:$A$15,MATCH(B133,Lists!$B$4:$B$15,0)),0))</f>
        <v/>
      </c>
      <c r="D133" s="25" t="n"/>
      <c r="E133" s="24" t="n"/>
      <c r="F133" s="27">
        <f>IF(E133="","",IFERROR(INDEX(Lists!$H$4:$H$40,MATCH(E133,Lists!$F$4:$F$40,0)),"UNMAPPED"))</f>
        <v/>
      </c>
      <c r="G133" s="25" t="n"/>
      <c r="H133" s="25" t="n"/>
      <c r="I133" s="25" t="n"/>
      <c r="J133" s="25" t="n"/>
      <c r="K133" s="25" t="n"/>
      <c r="L133" s="29" t="n"/>
      <c r="M133" s="25" t="n"/>
      <c r="N133" s="30" t="n"/>
      <c r="O133" s="31">
        <f>IF(N133="","",IF(G133="Revenue",ROUND(N133*VATRate,2),0))</f>
        <v/>
      </c>
      <c r="P133" s="31">
        <f>IF(N133="","",N133+O133)</f>
        <v/>
      </c>
    </row>
    <row r="134">
      <c r="A134" s="26" t="n"/>
      <c r="B134" s="27">
        <f>IF(A134="","",IF(OR(A134&lt;MIN(Lists!$C$4:$C$15),A134&gt;MAX(Lists!$D$4:$D$15)),"No period",INDEX(Lists!$B$4:$B$15,MATCH(A134,Lists!$C$4:$C$15,1))))</f>
        <v/>
      </c>
      <c r="C134" s="28">
        <f>IF(B134="","",IFERROR(INDEX(Lists!$A$4:$A$15,MATCH(B134,Lists!$B$4:$B$15,0)),0))</f>
        <v/>
      </c>
      <c r="D134" s="25" t="n"/>
      <c r="E134" s="24" t="n"/>
      <c r="F134" s="27">
        <f>IF(E134="","",IFERROR(INDEX(Lists!$H$4:$H$40,MATCH(E134,Lists!$F$4:$F$40,0)),"UNMAPPED"))</f>
        <v/>
      </c>
      <c r="G134" s="25" t="n"/>
      <c r="H134" s="25" t="n"/>
      <c r="I134" s="25" t="n"/>
      <c r="J134" s="25" t="n"/>
      <c r="K134" s="25" t="n"/>
      <c r="L134" s="29" t="n"/>
      <c r="M134" s="25" t="n"/>
      <c r="N134" s="30" t="n"/>
      <c r="O134" s="31">
        <f>IF(N134="","",IF(G134="Revenue",ROUND(N134*VATRate,2),0))</f>
        <v/>
      </c>
      <c r="P134" s="31">
        <f>IF(N134="","",N134+O134)</f>
        <v/>
      </c>
    </row>
    <row r="135">
      <c r="A135" s="26" t="n"/>
      <c r="B135" s="27">
        <f>IF(A135="","",IF(OR(A135&lt;MIN(Lists!$C$4:$C$15),A135&gt;MAX(Lists!$D$4:$D$15)),"No period",INDEX(Lists!$B$4:$B$15,MATCH(A135,Lists!$C$4:$C$15,1))))</f>
        <v/>
      </c>
      <c r="C135" s="28">
        <f>IF(B135="","",IFERROR(INDEX(Lists!$A$4:$A$15,MATCH(B135,Lists!$B$4:$B$15,0)),0))</f>
        <v/>
      </c>
      <c r="D135" s="25" t="n"/>
      <c r="E135" s="24" t="n"/>
      <c r="F135" s="27">
        <f>IF(E135="","",IFERROR(INDEX(Lists!$H$4:$H$40,MATCH(E135,Lists!$F$4:$F$40,0)),"UNMAPPED"))</f>
        <v/>
      </c>
      <c r="G135" s="25" t="n"/>
      <c r="H135" s="25" t="n"/>
      <c r="I135" s="25" t="n"/>
      <c r="J135" s="25" t="n"/>
      <c r="K135" s="25" t="n"/>
      <c r="L135" s="29" t="n"/>
      <c r="M135" s="25" t="n"/>
      <c r="N135" s="30" t="n"/>
      <c r="O135" s="31">
        <f>IF(N135="","",IF(G135="Revenue",ROUND(N135*VATRate,2),0))</f>
        <v/>
      </c>
      <c r="P135" s="31">
        <f>IF(N135="","",N135+O135)</f>
        <v/>
      </c>
    </row>
    <row r="136">
      <c r="A136" s="26" t="n"/>
      <c r="B136" s="27">
        <f>IF(A136="","",IF(OR(A136&lt;MIN(Lists!$C$4:$C$15),A136&gt;MAX(Lists!$D$4:$D$15)),"No period",INDEX(Lists!$B$4:$B$15,MATCH(A136,Lists!$C$4:$C$15,1))))</f>
        <v/>
      </c>
      <c r="C136" s="28">
        <f>IF(B136="","",IFERROR(INDEX(Lists!$A$4:$A$15,MATCH(B136,Lists!$B$4:$B$15,0)),0))</f>
        <v/>
      </c>
      <c r="D136" s="25" t="n"/>
      <c r="E136" s="24" t="n"/>
      <c r="F136" s="27">
        <f>IF(E136="","",IFERROR(INDEX(Lists!$H$4:$H$40,MATCH(E136,Lists!$F$4:$F$40,0)),"UNMAPPED"))</f>
        <v/>
      </c>
      <c r="G136" s="25" t="n"/>
      <c r="H136" s="25" t="n"/>
      <c r="I136" s="25" t="n"/>
      <c r="J136" s="25" t="n"/>
      <c r="K136" s="25" t="n"/>
      <c r="L136" s="29" t="n"/>
      <c r="M136" s="25" t="n"/>
      <c r="N136" s="30" t="n"/>
      <c r="O136" s="31">
        <f>IF(N136="","",IF(G136="Revenue",ROUND(N136*VATRate,2),0))</f>
        <v/>
      </c>
      <c r="P136" s="31">
        <f>IF(N136="","",N136+O136)</f>
        <v/>
      </c>
    </row>
    <row r="137">
      <c r="A137" s="26" t="n"/>
      <c r="B137" s="27">
        <f>IF(A137="","",IF(OR(A137&lt;MIN(Lists!$C$4:$C$15),A137&gt;MAX(Lists!$D$4:$D$15)),"No period",INDEX(Lists!$B$4:$B$15,MATCH(A137,Lists!$C$4:$C$15,1))))</f>
        <v/>
      </c>
      <c r="C137" s="28">
        <f>IF(B137="","",IFERROR(INDEX(Lists!$A$4:$A$15,MATCH(B137,Lists!$B$4:$B$15,0)),0))</f>
        <v/>
      </c>
      <c r="D137" s="25" t="n"/>
      <c r="E137" s="24" t="n"/>
      <c r="F137" s="27">
        <f>IF(E137="","",IFERROR(INDEX(Lists!$H$4:$H$40,MATCH(E137,Lists!$F$4:$F$40,0)),"UNMAPPED"))</f>
        <v/>
      </c>
      <c r="G137" s="25" t="n"/>
      <c r="H137" s="25" t="n"/>
      <c r="I137" s="25" t="n"/>
      <c r="J137" s="25" t="n"/>
      <c r="K137" s="25" t="n"/>
      <c r="L137" s="29" t="n"/>
      <c r="M137" s="25" t="n"/>
      <c r="N137" s="30" t="n"/>
      <c r="O137" s="31">
        <f>IF(N137="","",IF(G137="Revenue",ROUND(N137*VATRate,2),0))</f>
        <v/>
      </c>
      <c r="P137" s="31">
        <f>IF(N137="","",N137+O137)</f>
        <v/>
      </c>
    </row>
    <row r="138">
      <c r="A138" s="26" t="n"/>
      <c r="B138" s="27">
        <f>IF(A138="","",IF(OR(A138&lt;MIN(Lists!$C$4:$C$15),A138&gt;MAX(Lists!$D$4:$D$15)),"No period",INDEX(Lists!$B$4:$B$15,MATCH(A138,Lists!$C$4:$C$15,1))))</f>
        <v/>
      </c>
      <c r="C138" s="28">
        <f>IF(B138="","",IFERROR(INDEX(Lists!$A$4:$A$15,MATCH(B138,Lists!$B$4:$B$15,0)),0))</f>
        <v/>
      </c>
      <c r="D138" s="25" t="n"/>
      <c r="E138" s="24" t="n"/>
      <c r="F138" s="27">
        <f>IF(E138="","",IFERROR(INDEX(Lists!$H$4:$H$40,MATCH(E138,Lists!$F$4:$F$40,0)),"UNMAPPED"))</f>
        <v/>
      </c>
      <c r="G138" s="25" t="n"/>
      <c r="H138" s="25" t="n"/>
      <c r="I138" s="25" t="n"/>
      <c r="J138" s="25" t="n"/>
      <c r="K138" s="25" t="n"/>
      <c r="L138" s="29" t="n"/>
      <c r="M138" s="25" t="n"/>
      <c r="N138" s="30" t="n"/>
      <c r="O138" s="31">
        <f>IF(N138="","",IF(G138="Revenue",ROUND(N138*VATRate,2),0))</f>
        <v/>
      </c>
      <c r="P138" s="31">
        <f>IF(N138="","",N138+O138)</f>
        <v/>
      </c>
    </row>
    <row r="139">
      <c r="A139" s="26" t="n"/>
      <c r="B139" s="27">
        <f>IF(A139="","",IF(OR(A139&lt;MIN(Lists!$C$4:$C$15),A139&gt;MAX(Lists!$D$4:$D$15)),"No period",INDEX(Lists!$B$4:$B$15,MATCH(A139,Lists!$C$4:$C$15,1))))</f>
        <v/>
      </c>
      <c r="C139" s="28">
        <f>IF(B139="","",IFERROR(INDEX(Lists!$A$4:$A$15,MATCH(B139,Lists!$B$4:$B$15,0)),0))</f>
        <v/>
      </c>
      <c r="D139" s="25" t="n"/>
      <c r="E139" s="24" t="n"/>
      <c r="F139" s="27">
        <f>IF(E139="","",IFERROR(INDEX(Lists!$H$4:$H$40,MATCH(E139,Lists!$F$4:$F$40,0)),"UNMAPPED"))</f>
        <v/>
      </c>
      <c r="G139" s="25" t="n"/>
      <c r="H139" s="25" t="n"/>
      <c r="I139" s="25" t="n"/>
      <c r="J139" s="25" t="n"/>
      <c r="K139" s="25" t="n"/>
      <c r="L139" s="29" t="n"/>
      <c r="M139" s="25" t="n"/>
      <c r="N139" s="30" t="n"/>
      <c r="O139" s="31">
        <f>IF(N139="","",IF(G139="Revenue",ROUND(N139*VATRate,2),0))</f>
        <v/>
      </c>
      <c r="P139" s="31">
        <f>IF(N139="","",N139+O139)</f>
        <v/>
      </c>
    </row>
    <row r="140">
      <c r="A140" s="26" t="n"/>
      <c r="B140" s="27">
        <f>IF(A140="","",IF(OR(A140&lt;MIN(Lists!$C$4:$C$15),A140&gt;MAX(Lists!$D$4:$D$15)),"No period",INDEX(Lists!$B$4:$B$15,MATCH(A140,Lists!$C$4:$C$15,1))))</f>
        <v/>
      </c>
      <c r="C140" s="28">
        <f>IF(B140="","",IFERROR(INDEX(Lists!$A$4:$A$15,MATCH(B140,Lists!$B$4:$B$15,0)),0))</f>
        <v/>
      </c>
      <c r="D140" s="25" t="n"/>
      <c r="E140" s="24" t="n"/>
      <c r="F140" s="27">
        <f>IF(E140="","",IFERROR(INDEX(Lists!$H$4:$H$40,MATCH(E140,Lists!$F$4:$F$40,0)),"UNMAPPED"))</f>
        <v/>
      </c>
      <c r="G140" s="25" t="n"/>
      <c r="H140" s="25" t="n"/>
      <c r="I140" s="25" t="n"/>
      <c r="J140" s="25" t="n"/>
      <c r="K140" s="25" t="n"/>
      <c r="L140" s="29" t="n"/>
      <c r="M140" s="25" t="n"/>
      <c r="N140" s="30" t="n"/>
      <c r="O140" s="31">
        <f>IF(N140="","",IF(G140="Revenue",ROUND(N140*VATRate,2),0))</f>
        <v/>
      </c>
      <c r="P140" s="31">
        <f>IF(N140="","",N140+O140)</f>
        <v/>
      </c>
    </row>
    <row r="141">
      <c r="A141" s="26" t="n"/>
      <c r="B141" s="27">
        <f>IF(A141="","",IF(OR(A141&lt;MIN(Lists!$C$4:$C$15),A141&gt;MAX(Lists!$D$4:$D$15)),"No period",INDEX(Lists!$B$4:$B$15,MATCH(A141,Lists!$C$4:$C$15,1))))</f>
        <v/>
      </c>
      <c r="C141" s="28">
        <f>IF(B141="","",IFERROR(INDEX(Lists!$A$4:$A$15,MATCH(B141,Lists!$B$4:$B$15,0)),0))</f>
        <v/>
      </c>
      <c r="D141" s="25" t="n"/>
      <c r="E141" s="24" t="n"/>
      <c r="F141" s="27">
        <f>IF(E141="","",IFERROR(INDEX(Lists!$H$4:$H$40,MATCH(E141,Lists!$F$4:$F$40,0)),"UNMAPPED"))</f>
        <v/>
      </c>
      <c r="G141" s="25" t="n"/>
      <c r="H141" s="25" t="n"/>
      <c r="I141" s="25" t="n"/>
      <c r="J141" s="25" t="n"/>
      <c r="K141" s="25" t="n"/>
      <c r="L141" s="29" t="n"/>
      <c r="M141" s="25" t="n"/>
      <c r="N141" s="30" t="n"/>
      <c r="O141" s="31">
        <f>IF(N141="","",IF(G141="Revenue",ROUND(N141*VATRate,2),0))</f>
        <v/>
      </c>
      <c r="P141" s="31">
        <f>IF(N141="","",N141+O141)</f>
        <v/>
      </c>
    </row>
    <row r="142">
      <c r="A142" s="26" t="n"/>
      <c r="B142" s="27">
        <f>IF(A142="","",IF(OR(A142&lt;MIN(Lists!$C$4:$C$15),A142&gt;MAX(Lists!$D$4:$D$15)),"No period",INDEX(Lists!$B$4:$B$15,MATCH(A142,Lists!$C$4:$C$15,1))))</f>
        <v/>
      </c>
      <c r="C142" s="28">
        <f>IF(B142="","",IFERROR(INDEX(Lists!$A$4:$A$15,MATCH(B142,Lists!$B$4:$B$15,0)),0))</f>
        <v/>
      </c>
      <c r="D142" s="25" t="n"/>
      <c r="E142" s="24" t="n"/>
      <c r="F142" s="27">
        <f>IF(E142="","",IFERROR(INDEX(Lists!$H$4:$H$40,MATCH(E142,Lists!$F$4:$F$40,0)),"UNMAPPED"))</f>
        <v/>
      </c>
      <c r="G142" s="25" t="n"/>
      <c r="H142" s="25" t="n"/>
      <c r="I142" s="25" t="n"/>
      <c r="J142" s="25" t="n"/>
      <c r="K142" s="25" t="n"/>
      <c r="L142" s="29" t="n"/>
      <c r="M142" s="25" t="n"/>
      <c r="N142" s="30" t="n"/>
      <c r="O142" s="31">
        <f>IF(N142="","",IF(G142="Revenue",ROUND(N142*VATRate,2),0))</f>
        <v/>
      </c>
      <c r="P142" s="31">
        <f>IF(N142="","",N142+O142)</f>
        <v/>
      </c>
    </row>
    <row r="143">
      <c r="A143" s="26" t="n"/>
      <c r="B143" s="27">
        <f>IF(A143="","",IF(OR(A143&lt;MIN(Lists!$C$4:$C$15),A143&gt;MAX(Lists!$D$4:$D$15)),"No period",INDEX(Lists!$B$4:$B$15,MATCH(A143,Lists!$C$4:$C$15,1))))</f>
        <v/>
      </c>
      <c r="C143" s="28">
        <f>IF(B143="","",IFERROR(INDEX(Lists!$A$4:$A$15,MATCH(B143,Lists!$B$4:$B$15,0)),0))</f>
        <v/>
      </c>
      <c r="D143" s="25" t="n"/>
      <c r="E143" s="24" t="n"/>
      <c r="F143" s="27">
        <f>IF(E143="","",IFERROR(INDEX(Lists!$H$4:$H$40,MATCH(E143,Lists!$F$4:$F$40,0)),"UNMAPPED"))</f>
        <v/>
      </c>
      <c r="G143" s="25" t="n"/>
      <c r="H143" s="25" t="n"/>
      <c r="I143" s="25" t="n"/>
      <c r="J143" s="25" t="n"/>
      <c r="K143" s="25" t="n"/>
      <c r="L143" s="29" t="n"/>
      <c r="M143" s="25" t="n"/>
      <c r="N143" s="30" t="n"/>
      <c r="O143" s="31">
        <f>IF(N143="","",IF(G143="Revenue",ROUND(N143*VATRate,2),0))</f>
        <v/>
      </c>
      <c r="P143" s="31">
        <f>IF(N143="","",N143+O143)</f>
        <v/>
      </c>
    </row>
    <row r="144">
      <c r="A144" s="26" t="n"/>
      <c r="B144" s="27">
        <f>IF(A144="","",IF(OR(A144&lt;MIN(Lists!$C$4:$C$15),A144&gt;MAX(Lists!$D$4:$D$15)),"No period",INDEX(Lists!$B$4:$B$15,MATCH(A144,Lists!$C$4:$C$15,1))))</f>
        <v/>
      </c>
      <c r="C144" s="28">
        <f>IF(B144="","",IFERROR(INDEX(Lists!$A$4:$A$15,MATCH(B144,Lists!$B$4:$B$15,0)),0))</f>
        <v/>
      </c>
      <c r="D144" s="25" t="n"/>
      <c r="E144" s="24" t="n"/>
      <c r="F144" s="27">
        <f>IF(E144="","",IFERROR(INDEX(Lists!$H$4:$H$40,MATCH(E144,Lists!$F$4:$F$40,0)),"UNMAPPED"))</f>
        <v/>
      </c>
      <c r="G144" s="25" t="n"/>
      <c r="H144" s="25" t="n"/>
      <c r="I144" s="25" t="n"/>
      <c r="J144" s="25" t="n"/>
      <c r="K144" s="25" t="n"/>
      <c r="L144" s="29" t="n"/>
      <c r="M144" s="25" t="n"/>
      <c r="N144" s="30" t="n"/>
      <c r="O144" s="31">
        <f>IF(N144="","",IF(G144="Revenue",ROUND(N144*VATRate,2),0))</f>
        <v/>
      </c>
      <c r="P144" s="31">
        <f>IF(N144="","",N144+O144)</f>
        <v/>
      </c>
    </row>
    <row r="145">
      <c r="A145" s="26" t="n"/>
      <c r="B145" s="27">
        <f>IF(A145="","",IF(OR(A145&lt;MIN(Lists!$C$4:$C$15),A145&gt;MAX(Lists!$D$4:$D$15)),"No period",INDEX(Lists!$B$4:$B$15,MATCH(A145,Lists!$C$4:$C$15,1))))</f>
        <v/>
      </c>
      <c r="C145" s="28">
        <f>IF(B145="","",IFERROR(INDEX(Lists!$A$4:$A$15,MATCH(B145,Lists!$B$4:$B$15,0)),0))</f>
        <v/>
      </c>
      <c r="D145" s="25" t="n"/>
      <c r="E145" s="24" t="n"/>
      <c r="F145" s="27">
        <f>IF(E145="","",IFERROR(INDEX(Lists!$H$4:$H$40,MATCH(E145,Lists!$F$4:$F$40,0)),"UNMAPPED"))</f>
        <v/>
      </c>
      <c r="G145" s="25" t="n"/>
      <c r="H145" s="25" t="n"/>
      <c r="I145" s="25" t="n"/>
      <c r="J145" s="25" t="n"/>
      <c r="K145" s="25" t="n"/>
      <c r="L145" s="29" t="n"/>
      <c r="M145" s="25" t="n"/>
      <c r="N145" s="30" t="n"/>
      <c r="O145" s="31">
        <f>IF(N145="","",IF(G145="Revenue",ROUND(N145*VATRate,2),0))</f>
        <v/>
      </c>
      <c r="P145" s="31">
        <f>IF(N145="","",N145+O145)</f>
        <v/>
      </c>
    </row>
    <row r="146">
      <c r="A146" s="26" t="n"/>
      <c r="B146" s="27">
        <f>IF(A146="","",IF(OR(A146&lt;MIN(Lists!$C$4:$C$15),A146&gt;MAX(Lists!$D$4:$D$15)),"No period",INDEX(Lists!$B$4:$B$15,MATCH(A146,Lists!$C$4:$C$15,1))))</f>
        <v/>
      </c>
      <c r="C146" s="28">
        <f>IF(B146="","",IFERROR(INDEX(Lists!$A$4:$A$15,MATCH(B146,Lists!$B$4:$B$15,0)),0))</f>
        <v/>
      </c>
      <c r="D146" s="25" t="n"/>
      <c r="E146" s="24" t="n"/>
      <c r="F146" s="27">
        <f>IF(E146="","",IFERROR(INDEX(Lists!$H$4:$H$40,MATCH(E146,Lists!$F$4:$F$40,0)),"UNMAPPED"))</f>
        <v/>
      </c>
      <c r="G146" s="25" t="n"/>
      <c r="H146" s="25" t="n"/>
      <c r="I146" s="25" t="n"/>
      <c r="J146" s="25" t="n"/>
      <c r="K146" s="25" t="n"/>
      <c r="L146" s="29" t="n"/>
      <c r="M146" s="25" t="n"/>
      <c r="N146" s="30" t="n"/>
      <c r="O146" s="31">
        <f>IF(N146="","",IF(G146="Revenue",ROUND(N146*VATRate,2),0))</f>
        <v/>
      </c>
      <c r="P146" s="31">
        <f>IF(N146="","",N146+O146)</f>
        <v/>
      </c>
    </row>
    <row r="147">
      <c r="A147" s="26" t="n"/>
      <c r="B147" s="27">
        <f>IF(A147="","",IF(OR(A147&lt;MIN(Lists!$C$4:$C$15),A147&gt;MAX(Lists!$D$4:$D$15)),"No period",INDEX(Lists!$B$4:$B$15,MATCH(A147,Lists!$C$4:$C$15,1))))</f>
        <v/>
      </c>
      <c r="C147" s="28">
        <f>IF(B147="","",IFERROR(INDEX(Lists!$A$4:$A$15,MATCH(B147,Lists!$B$4:$B$15,0)),0))</f>
        <v/>
      </c>
      <c r="D147" s="25" t="n"/>
      <c r="E147" s="24" t="n"/>
      <c r="F147" s="27">
        <f>IF(E147="","",IFERROR(INDEX(Lists!$H$4:$H$40,MATCH(E147,Lists!$F$4:$F$40,0)),"UNMAPPED"))</f>
        <v/>
      </c>
      <c r="G147" s="25" t="n"/>
      <c r="H147" s="25" t="n"/>
      <c r="I147" s="25" t="n"/>
      <c r="J147" s="25" t="n"/>
      <c r="K147" s="25" t="n"/>
      <c r="L147" s="29" t="n"/>
      <c r="M147" s="25" t="n"/>
      <c r="N147" s="30" t="n"/>
      <c r="O147" s="31">
        <f>IF(N147="","",IF(G147="Revenue",ROUND(N147*VATRate,2),0))</f>
        <v/>
      </c>
      <c r="P147" s="31">
        <f>IF(N147="","",N147+O147)</f>
        <v/>
      </c>
    </row>
    <row r="148">
      <c r="A148" s="26" t="n"/>
      <c r="B148" s="27">
        <f>IF(A148="","",IF(OR(A148&lt;MIN(Lists!$C$4:$C$15),A148&gt;MAX(Lists!$D$4:$D$15)),"No period",INDEX(Lists!$B$4:$B$15,MATCH(A148,Lists!$C$4:$C$15,1))))</f>
        <v/>
      </c>
      <c r="C148" s="28">
        <f>IF(B148="","",IFERROR(INDEX(Lists!$A$4:$A$15,MATCH(B148,Lists!$B$4:$B$15,0)),0))</f>
        <v/>
      </c>
      <c r="D148" s="25" t="n"/>
      <c r="E148" s="24" t="n"/>
      <c r="F148" s="27">
        <f>IF(E148="","",IFERROR(INDEX(Lists!$H$4:$H$40,MATCH(E148,Lists!$F$4:$F$40,0)),"UNMAPPED"))</f>
        <v/>
      </c>
      <c r="G148" s="25" t="n"/>
      <c r="H148" s="25" t="n"/>
      <c r="I148" s="25" t="n"/>
      <c r="J148" s="25" t="n"/>
      <c r="K148" s="25" t="n"/>
      <c r="L148" s="29" t="n"/>
      <c r="M148" s="25" t="n"/>
      <c r="N148" s="30" t="n"/>
      <c r="O148" s="31">
        <f>IF(N148="","",IF(G148="Revenue",ROUND(N148*VATRate,2),0))</f>
        <v/>
      </c>
      <c r="P148" s="31">
        <f>IF(N148="","",N148+O148)</f>
        <v/>
      </c>
    </row>
    <row r="149">
      <c r="A149" s="26" t="n"/>
      <c r="B149" s="27">
        <f>IF(A149="","",IF(OR(A149&lt;MIN(Lists!$C$4:$C$15),A149&gt;MAX(Lists!$D$4:$D$15)),"No period",INDEX(Lists!$B$4:$B$15,MATCH(A149,Lists!$C$4:$C$15,1))))</f>
        <v/>
      </c>
      <c r="C149" s="28">
        <f>IF(B149="","",IFERROR(INDEX(Lists!$A$4:$A$15,MATCH(B149,Lists!$B$4:$B$15,0)),0))</f>
        <v/>
      </c>
      <c r="D149" s="25" t="n"/>
      <c r="E149" s="24" t="n"/>
      <c r="F149" s="27">
        <f>IF(E149="","",IFERROR(INDEX(Lists!$H$4:$H$40,MATCH(E149,Lists!$F$4:$F$40,0)),"UNMAPPED"))</f>
        <v/>
      </c>
      <c r="G149" s="25" t="n"/>
      <c r="H149" s="25" t="n"/>
      <c r="I149" s="25" t="n"/>
      <c r="J149" s="25" t="n"/>
      <c r="K149" s="25" t="n"/>
      <c r="L149" s="29" t="n"/>
      <c r="M149" s="25" t="n"/>
      <c r="N149" s="30" t="n"/>
      <c r="O149" s="31">
        <f>IF(N149="","",IF(G149="Revenue",ROUND(N149*VATRate,2),0))</f>
        <v/>
      </c>
      <c r="P149" s="31">
        <f>IF(N149="","",N149+O149)</f>
        <v/>
      </c>
    </row>
    <row r="150">
      <c r="A150" s="26" t="n"/>
      <c r="B150" s="27">
        <f>IF(A150="","",IF(OR(A150&lt;MIN(Lists!$C$4:$C$15),A150&gt;MAX(Lists!$D$4:$D$15)),"No period",INDEX(Lists!$B$4:$B$15,MATCH(A150,Lists!$C$4:$C$15,1))))</f>
        <v/>
      </c>
      <c r="C150" s="28">
        <f>IF(B150="","",IFERROR(INDEX(Lists!$A$4:$A$15,MATCH(B150,Lists!$B$4:$B$15,0)),0))</f>
        <v/>
      </c>
      <c r="D150" s="25" t="n"/>
      <c r="E150" s="24" t="n"/>
      <c r="F150" s="27">
        <f>IF(E150="","",IFERROR(INDEX(Lists!$H$4:$H$40,MATCH(E150,Lists!$F$4:$F$40,0)),"UNMAPPED"))</f>
        <v/>
      </c>
      <c r="G150" s="25" t="n"/>
      <c r="H150" s="25" t="n"/>
      <c r="I150" s="25" t="n"/>
      <c r="J150" s="25" t="n"/>
      <c r="K150" s="25" t="n"/>
      <c r="L150" s="29" t="n"/>
      <c r="M150" s="25" t="n"/>
      <c r="N150" s="30" t="n"/>
      <c r="O150" s="31">
        <f>IF(N150="","",IF(G150="Revenue",ROUND(N150*VATRate,2),0))</f>
        <v/>
      </c>
      <c r="P150" s="31">
        <f>IF(N150="","",N150+O150)</f>
        <v/>
      </c>
    </row>
    <row r="151">
      <c r="A151" s="26" t="n"/>
      <c r="B151" s="27">
        <f>IF(A151="","",IF(OR(A151&lt;MIN(Lists!$C$4:$C$15),A151&gt;MAX(Lists!$D$4:$D$15)),"No period",INDEX(Lists!$B$4:$B$15,MATCH(A151,Lists!$C$4:$C$15,1))))</f>
        <v/>
      </c>
      <c r="C151" s="28">
        <f>IF(B151="","",IFERROR(INDEX(Lists!$A$4:$A$15,MATCH(B151,Lists!$B$4:$B$15,0)),0))</f>
        <v/>
      </c>
      <c r="D151" s="25" t="n"/>
      <c r="E151" s="24" t="n"/>
      <c r="F151" s="27">
        <f>IF(E151="","",IFERROR(INDEX(Lists!$H$4:$H$40,MATCH(E151,Lists!$F$4:$F$40,0)),"UNMAPPED"))</f>
        <v/>
      </c>
      <c r="G151" s="25" t="n"/>
      <c r="H151" s="25" t="n"/>
      <c r="I151" s="25" t="n"/>
      <c r="J151" s="25" t="n"/>
      <c r="K151" s="25" t="n"/>
      <c r="L151" s="29" t="n"/>
      <c r="M151" s="25" t="n"/>
      <c r="N151" s="30" t="n"/>
      <c r="O151" s="31">
        <f>IF(N151="","",IF(G151="Revenue",ROUND(N151*VATRate,2),0))</f>
        <v/>
      </c>
      <c r="P151" s="31">
        <f>IF(N151="","",N151+O151)</f>
        <v/>
      </c>
    </row>
    <row r="152">
      <c r="A152" s="26" t="n"/>
      <c r="B152" s="27">
        <f>IF(A152="","",IF(OR(A152&lt;MIN(Lists!$C$4:$C$15),A152&gt;MAX(Lists!$D$4:$D$15)),"No period",INDEX(Lists!$B$4:$B$15,MATCH(A152,Lists!$C$4:$C$15,1))))</f>
        <v/>
      </c>
      <c r="C152" s="28">
        <f>IF(B152="","",IFERROR(INDEX(Lists!$A$4:$A$15,MATCH(B152,Lists!$B$4:$B$15,0)),0))</f>
        <v/>
      </c>
      <c r="D152" s="25" t="n"/>
      <c r="E152" s="24" t="n"/>
      <c r="F152" s="27">
        <f>IF(E152="","",IFERROR(INDEX(Lists!$H$4:$H$40,MATCH(E152,Lists!$F$4:$F$40,0)),"UNMAPPED"))</f>
        <v/>
      </c>
      <c r="G152" s="25" t="n"/>
      <c r="H152" s="25" t="n"/>
      <c r="I152" s="25" t="n"/>
      <c r="J152" s="25" t="n"/>
      <c r="K152" s="25" t="n"/>
      <c r="L152" s="29" t="n"/>
      <c r="M152" s="25" t="n"/>
      <c r="N152" s="30" t="n"/>
      <c r="O152" s="31">
        <f>IF(N152="","",IF(G152="Revenue",ROUND(N152*VATRate,2),0))</f>
        <v/>
      </c>
      <c r="P152" s="31">
        <f>IF(N152="","",N152+O152)</f>
        <v/>
      </c>
    </row>
    <row r="153">
      <c r="A153" s="26" t="n"/>
      <c r="B153" s="27">
        <f>IF(A153="","",IF(OR(A153&lt;MIN(Lists!$C$4:$C$15),A153&gt;MAX(Lists!$D$4:$D$15)),"No period",INDEX(Lists!$B$4:$B$15,MATCH(A153,Lists!$C$4:$C$15,1))))</f>
        <v/>
      </c>
      <c r="C153" s="28">
        <f>IF(B153="","",IFERROR(INDEX(Lists!$A$4:$A$15,MATCH(B153,Lists!$B$4:$B$15,0)),0))</f>
        <v/>
      </c>
      <c r="D153" s="25" t="n"/>
      <c r="E153" s="24" t="n"/>
      <c r="F153" s="27">
        <f>IF(E153="","",IFERROR(INDEX(Lists!$H$4:$H$40,MATCH(E153,Lists!$F$4:$F$40,0)),"UNMAPPED"))</f>
        <v/>
      </c>
      <c r="G153" s="25" t="n"/>
      <c r="H153" s="25" t="n"/>
      <c r="I153" s="25" t="n"/>
      <c r="J153" s="25" t="n"/>
      <c r="K153" s="25" t="n"/>
      <c r="L153" s="29" t="n"/>
      <c r="M153" s="25" t="n"/>
      <c r="N153" s="30" t="n"/>
      <c r="O153" s="31">
        <f>IF(N153="","",IF(G153="Revenue",ROUND(N153*VATRate,2),0))</f>
        <v/>
      </c>
      <c r="P153" s="31">
        <f>IF(N153="","",N153+O153)</f>
        <v/>
      </c>
    </row>
    <row r="154">
      <c r="A154" s="26" t="n"/>
      <c r="B154" s="27">
        <f>IF(A154="","",IF(OR(A154&lt;MIN(Lists!$C$4:$C$15),A154&gt;MAX(Lists!$D$4:$D$15)),"No period",INDEX(Lists!$B$4:$B$15,MATCH(A154,Lists!$C$4:$C$15,1))))</f>
        <v/>
      </c>
      <c r="C154" s="28">
        <f>IF(B154="","",IFERROR(INDEX(Lists!$A$4:$A$15,MATCH(B154,Lists!$B$4:$B$15,0)),0))</f>
        <v/>
      </c>
      <c r="D154" s="25" t="n"/>
      <c r="E154" s="24" t="n"/>
      <c r="F154" s="27">
        <f>IF(E154="","",IFERROR(INDEX(Lists!$H$4:$H$40,MATCH(E154,Lists!$F$4:$F$40,0)),"UNMAPPED"))</f>
        <v/>
      </c>
      <c r="G154" s="25" t="n"/>
      <c r="H154" s="25" t="n"/>
      <c r="I154" s="25" t="n"/>
      <c r="J154" s="25" t="n"/>
      <c r="K154" s="25" t="n"/>
      <c r="L154" s="29" t="n"/>
      <c r="M154" s="25" t="n"/>
      <c r="N154" s="30" t="n"/>
      <c r="O154" s="31">
        <f>IF(N154="","",IF(G154="Revenue",ROUND(N154*VATRate,2),0))</f>
        <v/>
      </c>
      <c r="P154" s="31">
        <f>IF(N154="","",N154+O154)</f>
        <v/>
      </c>
    </row>
    <row r="155">
      <c r="A155" s="26" t="n"/>
      <c r="B155" s="27">
        <f>IF(A155="","",IF(OR(A155&lt;MIN(Lists!$C$4:$C$15),A155&gt;MAX(Lists!$D$4:$D$15)),"No period",INDEX(Lists!$B$4:$B$15,MATCH(A155,Lists!$C$4:$C$15,1))))</f>
        <v/>
      </c>
      <c r="C155" s="28">
        <f>IF(B155="","",IFERROR(INDEX(Lists!$A$4:$A$15,MATCH(B155,Lists!$B$4:$B$15,0)),0))</f>
        <v/>
      </c>
      <c r="D155" s="25" t="n"/>
      <c r="E155" s="24" t="n"/>
      <c r="F155" s="27">
        <f>IF(E155="","",IFERROR(INDEX(Lists!$H$4:$H$40,MATCH(E155,Lists!$F$4:$F$40,0)),"UNMAPPED"))</f>
        <v/>
      </c>
      <c r="G155" s="25" t="n"/>
      <c r="H155" s="25" t="n"/>
      <c r="I155" s="25" t="n"/>
      <c r="J155" s="25" t="n"/>
      <c r="K155" s="25" t="n"/>
      <c r="L155" s="29" t="n"/>
      <c r="M155" s="25" t="n"/>
      <c r="N155" s="30" t="n"/>
      <c r="O155" s="31">
        <f>IF(N155="","",IF(G155="Revenue",ROUND(N155*VATRate,2),0))</f>
        <v/>
      </c>
      <c r="P155" s="31">
        <f>IF(N155="","",N155+O155)</f>
        <v/>
      </c>
    </row>
    <row r="156">
      <c r="A156" s="26" t="n"/>
      <c r="B156" s="27">
        <f>IF(A156="","",IF(OR(A156&lt;MIN(Lists!$C$4:$C$15),A156&gt;MAX(Lists!$D$4:$D$15)),"No period",INDEX(Lists!$B$4:$B$15,MATCH(A156,Lists!$C$4:$C$15,1))))</f>
        <v/>
      </c>
      <c r="C156" s="28">
        <f>IF(B156="","",IFERROR(INDEX(Lists!$A$4:$A$15,MATCH(B156,Lists!$B$4:$B$15,0)),0))</f>
        <v/>
      </c>
      <c r="D156" s="25" t="n"/>
      <c r="E156" s="24" t="n"/>
      <c r="F156" s="27">
        <f>IF(E156="","",IFERROR(INDEX(Lists!$H$4:$H$40,MATCH(E156,Lists!$F$4:$F$40,0)),"UNMAPPED"))</f>
        <v/>
      </c>
      <c r="G156" s="25" t="n"/>
      <c r="H156" s="25" t="n"/>
      <c r="I156" s="25" t="n"/>
      <c r="J156" s="25" t="n"/>
      <c r="K156" s="25" t="n"/>
      <c r="L156" s="29" t="n"/>
      <c r="M156" s="25" t="n"/>
      <c r="N156" s="30" t="n"/>
      <c r="O156" s="31">
        <f>IF(N156="","",IF(G156="Revenue",ROUND(N156*VATRate,2),0))</f>
        <v/>
      </c>
      <c r="P156" s="31">
        <f>IF(N156="","",N156+O156)</f>
        <v/>
      </c>
    </row>
    <row r="157">
      <c r="A157" s="26" t="n"/>
      <c r="B157" s="27">
        <f>IF(A157="","",IF(OR(A157&lt;MIN(Lists!$C$4:$C$15),A157&gt;MAX(Lists!$D$4:$D$15)),"No period",INDEX(Lists!$B$4:$B$15,MATCH(A157,Lists!$C$4:$C$15,1))))</f>
        <v/>
      </c>
      <c r="C157" s="28">
        <f>IF(B157="","",IFERROR(INDEX(Lists!$A$4:$A$15,MATCH(B157,Lists!$B$4:$B$15,0)),0))</f>
        <v/>
      </c>
      <c r="D157" s="25" t="n"/>
      <c r="E157" s="24" t="n"/>
      <c r="F157" s="27">
        <f>IF(E157="","",IFERROR(INDEX(Lists!$H$4:$H$40,MATCH(E157,Lists!$F$4:$F$40,0)),"UNMAPPED"))</f>
        <v/>
      </c>
      <c r="G157" s="25" t="n"/>
      <c r="H157" s="25" t="n"/>
      <c r="I157" s="25" t="n"/>
      <c r="J157" s="25" t="n"/>
      <c r="K157" s="25" t="n"/>
      <c r="L157" s="29" t="n"/>
      <c r="M157" s="25" t="n"/>
      <c r="N157" s="30" t="n"/>
      <c r="O157" s="31">
        <f>IF(N157="","",IF(G157="Revenue",ROUND(N157*VATRate,2),0))</f>
        <v/>
      </c>
      <c r="P157" s="31">
        <f>IF(N157="","",N157+O157)</f>
        <v/>
      </c>
    </row>
    <row r="158">
      <c r="A158" s="26" t="n"/>
      <c r="B158" s="27">
        <f>IF(A158="","",IF(OR(A158&lt;MIN(Lists!$C$4:$C$15),A158&gt;MAX(Lists!$D$4:$D$15)),"No period",INDEX(Lists!$B$4:$B$15,MATCH(A158,Lists!$C$4:$C$15,1))))</f>
        <v/>
      </c>
      <c r="C158" s="28">
        <f>IF(B158="","",IFERROR(INDEX(Lists!$A$4:$A$15,MATCH(B158,Lists!$B$4:$B$15,0)),0))</f>
        <v/>
      </c>
      <c r="D158" s="25" t="n"/>
      <c r="E158" s="24" t="n"/>
      <c r="F158" s="27">
        <f>IF(E158="","",IFERROR(INDEX(Lists!$H$4:$H$40,MATCH(E158,Lists!$F$4:$F$40,0)),"UNMAPPED"))</f>
        <v/>
      </c>
      <c r="G158" s="25" t="n"/>
      <c r="H158" s="25" t="n"/>
      <c r="I158" s="25" t="n"/>
      <c r="J158" s="25" t="n"/>
      <c r="K158" s="25" t="n"/>
      <c r="L158" s="29" t="n"/>
      <c r="M158" s="25" t="n"/>
      <c r="N158" s="30" t="n"/>
      <c r="O158" s="31">
        <f>IF(N158="","",IF(G158="Revenue",ROUND(N158*VATRate,2),0))</f>
        <v/>
      </c>
      <c r="P158" s="31">
        <f>IF(N158="","",N158+O158)</f>
        <v/>
      </c>
    </row>
    <row r="159">
      <c r="A159" s="26" t="n"/>
      <c r="B159" s="27">
        <f>IF(A159="","",IF(OR(A159&lt;MIN(Lists!$C$4:$C$15),A159&gt;MAX(Lists!$D$4:$D$15)),"No period",INDEX(Lists!$B$4:$B$15,MATCH(A159,Lists!$C$4:$C$15,1))))</f>
        <v/>
      </c>
      <c r="C159" s="28">
        <f>IF(B159="","",IFERROR(INDEX(Lists!$A$4:$A$15,MATCH(B159,Lists!$B$4:$B$15,0)),0))</f>
        <v/>
      </c>
      <c r="D159" s="25" t="n"/>
      <c r="E159" s="24" t="n"/>
      <c r="F159" s="27">
        <f>IF(E159="","",IFERROR(INDEX(Lists!$H$4:$H$40,MATCH(E159,Lists!$F$4:$F$40,0)),"UNMAPPED"))</f>
        <v/>
      </c>
      <c r="G159" s="25" t="n"/>
      <c r="H159" s="25" t="n"/>
      <c r="I159" s="25" t="n"/>
      <c r="J159" s="25" t="n"/>
      <c r="K159" s="25" t="n"/>
      <c r="L159" s="29" t="n"/>
      <c r="M159" s="25" t="n"/>
      <c r="N159" s="30" t="n"/>
      <c r="O159" s="31">
        <f>IF(N159="","",IF(G159="Revenue",ROUND(N159*VATRate,2),0))</f>
        <v/>
      </c>
      <c r="P159" s="31">
        <f>IF(N159="","",N159+O159)</f>
        <v/>
      </c>
    </row>
    <row r="160">
      <c r="A160" s="26" t="n"/>
      <c r="B160" s="27">
        <f>IF(A160="","",IF(OR(A160&lt;MIN(Lists!$C$4:$C$15),A160&gt;MAX(Lists!$D$4:$D$15)),"No period",INDEX(Lists!$B$4:$B$15,MATCH(A160,Lists!$C$4:$C$15,1))))</f>
        <v/>
      </c>
      <c r="C160" s="28">
        <f>IF(B160="","",IFERROR(INDEX(Lists!$A$4:$A$15,MATCH(B160,Lists!$B$4:$B$15,0)),0))</f>
        <v/>
      </c>
      <c r="D160" s="25" t="n"/>
      <c r="E160" s="24" t="n"/>
      <c r="F160" s="27">
        <f>IF(E160="","",IFERROR(INDEX(Lists!$H$4:$H$40,MATCH(E160,Lists!$F$4:$F$40,0)),"UNMAPPED"))</f>
        <v/>
      </c>
      <c r="G160" s="25" t="n"/>
      <c r="H160" s="25" t="n"/>
      <c r="I160" s="25" t="n"/>
      <c r="J160" s="25" t="n"/>
      <c r="K160" s="25" t="n"/>
      <c r="L160" s="29" t="n"/>
      <c r="M160" s="25" t="n"/>
      <c r="N160" s="30" t="n"/>
      <c r="O160" s="31">
        <f>IF(N160="","",IF(G160="Revenue",ROUND(N160*VATRate,2),0))</f>
        <v/>
      </c>
      <c r="P160" s="31">
        <f>IF(N160="","",N160+O160)</f>
        <v/>
      </c>
    </row>
    <row r="161">
      <c r="A161" s="26" t="n"/>
      <c r="B161" s="27">
        <f>IF(A161="","",IF(OR(A161&lt;MIN(Lists!$C$4:$C$15),A161&gt;MAX(Lists!$D$4:$D$15)),"No period",INDEX(Lists!$B$4:$B$15,MATCH(A161,Lists!$C$4:$C$15,1))))</f>
        <v/>
      </c>
      <c r="C161" s="28">
        <f>IF(B161="","",IFERROR(INDEX(Lists!$A$4:$A$15,MATCH(B161,Lists!$B$4:$B$15,0)),0))</f>
        <v/>
      </c>
      <c r="D161" s="25" t="n"/>
      <c r="E161" s="24" t="n"/>
      <c r="F161" s="27">
        <f>IF(E161="","",IFERROR(INDEX(Lists!$H$4:$H$40,MATCH(E161,Lists!$F$4:$F$40,0)),"UNMAPPED"))</f>
        <v/>
      </c>
      <c r="G161" s="25" t="n"/>
      <c r="H161" s="25" t="n"/>
      <c r="I161" s="25" t="n"/>
      <c r="J161" s="25" t="n"/>
      <c r="K161" s="25" t="n"/>
      <c r="L161" s="29" t="n"/>
      <c r="M161" s="25" t="n"/>
      <c r="N161" s="30" t="n"/>
      <c r="O161" s="31">
        <f>IF(N161="","",IF(G161="Revenue",ROUND(N161*VATRate,2),0))</f>
        <v/>
      </c>
      <c r="P161" s="31">
        <f>IF(N161="","",N161+O161)</f>
        <v/>
      </c>
    </row>
    <row r="162">
      <c r="A162" s="26" t="n"/>
      <c r="B162" s="27">
        <f>IF(A162="","",IF(OR(A162&lt;MIN(Lists!$C$4:$C$15),A162&gt;MAX(Lists!$D$4:$D$15)),"No period",INDEX(Lists!$B$4:$B$15,MATCH(A162,Lists!$C$4:$C$15,1))))</f>
        <v/>
      </c>
      <c r="C162" s="28">
        <f>IF(B162="","",IFERROR(INDEX(Lists!$A$4:$A$15,MATCH(B162,Lists!$B$4:$B$15,0)),0))</f>
        <v/>
      </c>
      <c r="D162" s="25" t="n"/>
      <c r="E162" s="24" t="n"/>
      <c r="F162" s="27">
        <f>IF(E162="","",IFERROR(INDEX(Lists!$H$4:$H$40,MATCH(E162,Lists!$F$4:$F$40,0)),"UNMAPPED"))</f>
        <v/>
      </c>
      <c r="G162" s="25" t="n"/>
      <c r="H162" s="25" t="n"/>
      <c r="I162" s="25" t="n"/>
      <c r="J162" s="25" t="n"/>
      <c r="K162" s="25" t="n"/>
      <c r="L162" s="29" t="n"/>
      <c r="M162" s="25" t="n"/>
      <c r="N162" s="30" t="n"/>
      <c r="O162" s="31">
        <f>IF(N162="","",IF(G162="Revenue",ROUND(N162*VATRate,2),0))</f>
        <v/>
      </c>
      <c r="P162" s="31">
        <f>IF(N162="","",N162+O162)</f>
        <v/>
      </c>
    </row>
    <row r="163">
      <c r="A163" s="26" t="n"/>
      <c r="B163" s="27">
        <f>IF(A163="","",IF(OR(A163&lt;MIN(Lists!$C$4:$C$15),A163&gt;MAX(Lists!$D$4:$D$15)),"No period",INDEX(Lists!$B$4:$B$15,MATCH(A163,Lists!$C$4:$C$15,1))))</f>
        <v/>
      </c>
      <c r="C163" s="28">
        <f>IF(B163="","",IFERROR(INDEX(Lists!$A$4:$A$15,MATCH(B163,Lists!$B$4:$B$15,0)),0))</f>
        <v/>
      </c>
      <c r="D163" s="25" t="n"/>
      <c r="E163" s="24" t="n"/>
      <c r="F163" s="27">
        <f>IF(E163="","",IFERROR(INDEX(Lists!$H$4:$H$40,MATCH(E163,Lists!$F$4:$F$40,0)),"UNMAPPED"))</f>
        <v/>
      </c>
      <c r="G163" s="25" t="n"/>
      <c r="H163" s="25" t="n"/>
      <c r="I163" s="25" t="n"/>
      <c r="J163" s="25" t="n"/>
      <c r="K163" s="25" t="n"/>
      <c r="L163" s="29" t="n"/>
      <c r="M163" s="25" t="n"/>
      <c r="N163" s="30" t="n"/>
      <c r="O163" s="31">
        <f>IF(N163="","",IF(G163="Revenue",ROUND(N163*VATRate,2),0))</f>
        <v/>
      </c>
      <c r="P163" s="31">
        <f>IF(N163="","",N163+O163)</f>
        <v/>
      </c>
    </row>
    <row r="164">
      <c r="A164" s="26" t="n"/>
      <c r="B164" s="27">
        <f>IF(A164="","",IF(OR(A164&lt;MIN(Lists!$C$4:$C$15),A164&gt;MAX(Lists!$D$4:$D$15)),"No period",INDEX(Lists!$B$4:$B$15,MATCH(A164,Lists!$C$4:$C$15,1))))</f>
        <v/>
      </c>
      <c r="C164" s="28">
        <f>IF(B164="","",IFERROR(INDEX(Lists!$A$4:$A$15,MATCH(B164,Lists!$B$4:$B$15,0)),0))</f>
        <v/>
      </c>
      <c r="D164" s="25" t="n"/>
      <c r="E164" s="24" t="n"/>
      <c r="F164" s="27">
        <f>IF(E164="","",IFERROR(INDEX(Lists!$H$4:$H$40,MATCH(E164,Lists!$F$4:$F$40,0)),"UNMAPPED"))</f>
        <v/>
      </c>
      <c r="G164" s="25" t="n"/>
      <c r="H164" s="25" t="n"/>
      <c r="I164" s="25" t="n"/>
      <c r="J164" s="25" t="n"/>
      <c r="K164" s="25" t="n"/>
      <c r="L164" s="29" t="n"/>
      <c r="M164" s="25" t="n"/>
      <c r="N164" s="30" t="n"/>
      <c r="O164" s="31">
        <f>IF(N164="","",IF(G164="Revenue",ROUND(N164*VATRate,2),0))</f>
        <v/>
      </c>
      <c r="P164" s="31">
        <f>IF(N164="","",N164+O164)</f>
        <v/>
      </c>
    </row>
    <row r="165">
      <c r="A165" s="26" t="n"/>
      <c r="B165" s="27">
        <f>IF(A165="","",IF(OR(A165&lt;MIN(Lists!$C$4:$C$15),A165&gt;MAX(Lists!$D$4:$D$15)),"No period",INDEX(Lists!$B$4:$B$15,MATCH(A165,Lists!$C$4:$C$15,1))))</f>
        <v/>
      </c>
      <c r="C165" s="28">
        <f>IF(B165="","",IFERROR(INDEX(Lists!$A$4:$A$15,MATCH(B165,Lists!$B$4:$B$15,0)),0))</f>
        <v/>
      </c>
      <c r="D165" s="25" t="n"/>
      <c r="E165" s="24" t="n"/>
      <c r="F165" s="27">
        <f>IF(E165="","",IFERROR(INDEX(Lists!$H$4:$H$40,MATCH(E165,Lists!$F$4:$F$40,0)),"UNMAPPED"))</f>
        <v/>
      </c>
      <c r="G165" s="25" t="n"/>
      <c r="H165" s="25" t="n"/>
      <c r="I165" s="25" t="n"/>
      <c r="J165" s="25" t="n"/>
      <c r="K165" s="25" t="n"/>
      <c r="L165" s="29" t="n"/>
      <c r="M165" s="25" t="n"/>
      <c r="N165" s="30" t="n"/>
      <c r="O165" s="31">
        <f>IF(N165="","",IF(G165="Revenue",ROUND(N165*VATRate,2),0))</f>
        <v/>
      </c>
      <c r="P165" s="31">
        <f>IF(N165="","",N165+O165)</f>
        <v/>
      </c>
    </row>
    <row r="166">
      <c r="A166" s="26" t="n"/>
      <c r="B166" s="27">
        <f>IF(A166="","",IF(OR(A166&lt;MIN(Lists!$C$4:$C$15),A166&gt;MAX(Lists!$D$4:$D$15)),"No period",INDEX(Lists!$B$4:$B$15,MATCH(A166,Lists!$C$4:$C$15,1))))</f>
        <v/>
      </c>
      <c r="C166" s="28">
        <f>IF(B166="","",IFERROR(INDEX(Lists!$A$4:$A$15,MATCH(B166,Lists!$B$4:$B$15,0)),0))</f>
        <v/>
      </c>
      <c r="D166" s="25" t="n"/>
      <c r="E166" s="24" t="n"/>
      <c r="F166" s="27">
        <f>IF(E166="","",IFERROR(INDEX(Lists!$H$4:$H$40,MATCH(E166,Lists!$F$4:$F$40,0)),"UNMAPPED"))</f>
        <v/>
      </c>
      <c r="G166" s="25" t="n"/>
      <c r="H166" s="25" t="n"/>
      <c r="I166" s="25" t="n"/>
      <c r="J166" s="25" t="n"/>
      <c r="K166" s="25" t="n"/>
      <c r="L166" s="29" t="n"/>
      <c r="M166" s="25" t="n"/>
      <c r="N166" s="30" t="n"/>
      <c r="O166" s="31">
        <f>IF(N166="","",IF(G166="Revenue",ROUND(N166*VATRate,2),0))</f>
        <v/>
      </c>
      <c r="P166" s="31">
        <f>IF(N166="","",N166+O166)</f>
        <v/>
      </c>
    </row>
    <row r="167">
      <c r="A167" s="26" t="n"/>
      <c r="B167" s="27">
        <f>IF(A167="","",IF(OR(A167&lt;MIN(Lists!$C$4:$C$15),A167&gt;MAX(Lists!$D$4:$D$15)),"No period",INDEX(Lists!$B$4:$B$15,MATCH(A167,Lists!$C$4:$C$15,1))))</f>
        <v/>
      </c>
      <c r="C167" s="28">
        <f>IF(B167="","",IFERROR(INDEX(Lists!$A$4:$A$15,MATCH(B167,Lists!$B$4:$B$15,0)),0))</f>
        <v/>
      </c>
      <c r="D167" s="25" t="n"/>
      <c r="E167" s="24" t="n"/>
      <c r="F167" s="27">
        <f>IF(E167="","",IFERROR(INDEX(Lists!$H$4:$H$40,MATCH(E167,Lists!$F$4:$F$40,0)),"UNMAPPED"))</f>
        <v/>
      </c>
      <c r="G167" s="25" t="n"/>
      <c r="H167" s="25" t="n"/>
      <c r="I167" s="25" t="n"/>
      <c r="J167" s="25" t="n"/>
      <c r="K167" s="25" t="n"/>
      <c r="L167" s="29" t="n"/>
      <c r="M167" s="25" t="n"/>
      <c r="N167" s="30" t="n"/>
      <c r="O167" s="31">
        <f>IF(N167="","",IF(G167="Revenue",ROUND(N167*VATRate,2),0))</f>
        <v/>
      </c>
      <c r="P167" s="31">
        <f>IF(N167="","",N167+O167)</f>
        <v/>
      </c>
    </row>
    <row r="168">
      <c r="A168" s="26" t="n"/>
      <c r="B168" s="27">
        <f>IF(A168="","",IF(OR(A168&lt;MIN(Lists!$C$4:$C$15),A168&gt;MAX(Lists!$D$4:$D$15)),"No period",INDEX(Lists!$B$4:$B$15,MATCH(A168,Lists!$C$4:$C$15,1))))</f>
        <v/>
      </c>
      <c r="C168" s="28">
        <f>IF(B168="","",IFERROR(INDEX(Lists!$A$4:$A$15,MATCH(B168,Lists!$B$4:$B$15,0)),0))</f>
        <v/>
      </c>
      <c r="D168" s="25" t="n"/>
      <c r="E168" s="24" t="n"/>
      <c r="F168" s="27">
        <f>IF(E168="","",IFERROR(INDEX(Lists!$H$4:$H$40,MATCH(E168,Lists!$F$4:$F$40,0)),"UNMAPPED"))</f>
        <v/>
      </c>
      <c r="G168" s="25" t="n"/>
      <c r="H168" s="25" t="n"/>
      <c r="I168" s="25" t="n"/>
      <c r="J168" s="25" t="n"/>
      <c r="K168" s="25" t="n"/>
      <c r="L168" s="29" t="n"/>
      <c r="M168" s="25" t="n"/>
      <c r="N168" s="30" t="n"/>
      <c r="O168" s="31">
        <f>IF(N168="","",IF(G168="Revenue",ROUND(N168*VATRate,2),0))</f>
        <v/>
      </c>
      <c r="P168" s="31">
        <f>IF(N168="","",N168+O168)</f>
        <v/>
      </c>
    </row>
    <row r="169">
      <c r="A169" s="26" t="n"/>
      <c r="B169" s="27">
        <f>IF(A169="","",IF(OR(A169&lt;MIN(Lists!$C$4:$C$15),A169&gt;MAX(Lists!$D$4:$D$15)),"No period",INDEX(Lists!$B$4:$B$15,MATCH(A169,Lists!$C$4:$C$15,1))))</f>
        <v/>
      </c>
      <c r="C169" s="28">
        <f>IF(B169="","",IFERROR(INDEX(Lists!$A$4:$A$15,MATCH(B169,Lists!$B$4:$B$15,0)),0))</f>
        <v/>
      </c>
      <c r="D169" s="25" t="n"/>
      <c r="E169" s="24" t="n"/>
      <c r="F169" s="27">
        <f>IF(E169="","",IFERROR(INDEX(Lists!$H$4:$H$40,MATCH(E169,Lists!$F$4:$F$40,0)),"UNMAPPED"))</f>
        <v/>
      </c>
      <c r="G169" s="25" t="n"/>
      <c r="H169" s="25" t="n"/>
      <c r="I169" s="25" t="n"/>
      <c r="J169" s="25" t="n"/>
      <c r="K169" s="25" t="n"/>
      <c r="L169" s="29" t="n"/>
      <c r="M169" s="25" t="n"/>
      <c r="N169" s="30" t="n"/>
      <c r="O169" s="31">
        <f>IF(N169="","",IF(G169="Revenue",ROUND(N169*VATRate,2),0))</f>
        <v/>
      </c>
      <c r="P169" s="31">
        <f>IF(N169="","",N169+O169)</f>
        <v/>
      </c>
    </row>
    <row r="170">
      <c r="A170" s="26" t="n"/>
      <c r="B170" s="27">
        <f>IF(A170="","",IF(OR(A170&lt;MIN(Lists!$C$4:$C$15),A170&gt;MAX(Lists!$D$4:$D$15)),"No period",INDEX(Lists!$B$4:$B$15,MATCH(A170,Lists!$C$4:$C$15,1))))</f>
        <v/>
      </c>
      <c r="C170" s="28">
        <f>IF(B170="","",IFERROR(INDEX(Lists!$A$4:$A$15,MATCH(B170,Lists!$B$4:$B$15,0)),0))</f>
        <v/>
      </c>
      <c r="D170" s="25" t="n"/>
      <c r="E170" s="24" t="n"/>
      <c r="F170" s="27">
        <f>IF(E170="","",IFERROR(INDEX(Lists!$H$4:$H$40,MATCH(E170,Lists!$F$4:$F$40,0)),"UNMAPPED"))</f>
        <v/>
      </c>
      <c r="G170" s="25" t="n"/>
      <c r="H170" s="25" t="n"/>
      <c r="I170" s="25" t="n"/>
      <c r="J170" s="25" t="n"/>
      <c r="K170" s="25" t="n"/>
      <c r="L170" s="29" t="n"/>
      <c r="M170" s="25" t="n"/>
      <c r="N170" s="30" t="n"/>
      <c r="O170" s="31">
        <f>IF(N170="","",IF(G170="Revenue",ROUND(N170*VATRate,2),0))</f>
        <v/>
      </c>
      <c r="P170" s="31">
        <f>IF(N170="","",N170+O170)</f>
        <v/>
      </c>
    </row>
    <row r="171">
      <c r="A171" s="26" t="n"/>
      <c r="B171" s="27">
        <f>IF(A171="","",IF(OR(A171&lt;MIN(Lists!$C$4:$C$15),A171&gt;MAX(Lists!$D$4:$D$15)),"No period",INDEX(Lists!$B$4:$B$15,MATCH(A171,Lists!$C$4:$C$15,1))))</f>
        <v/>
      </c>
      <c r="C171" s="28">
        <f>IF(B171="","",IFERROR(INDEX(Lists!$A$4:$A$15,MATCH(B171,Lists!$B$4:$B$15,0)),0))</f>
        <v/>
      </c>
      <c r="D171" s="25" t="n"/>
      <c r="E171" s="24" t="n"/>
      <c r="F171" s="27">
        <f>IF(E171="","",IFERROR(INDEX(Lists!$H$4:$H$40,MATCH(E171,Lists!$F$4:$F$40,0)),"UNMAPPED"))</f>
        <v/>
      </c>
      <c r="G171" s="25" t="n"/>
      <c r="H171" s="25" t="n"/>
      <c r="I171" s="25" t="n"/>
      <c r="J171" s="25" t="n"/>
      <c r="K171" s="25" t="n"/>
      <c r="L171" s="29" t="n"/>
      <c r="M171" s="25" t="n"/>
      <c r="N171" s="30" t="n"/>
      <c r="O171" s="31">
        <f>IF(N171="","",IF(G171="Revenue",ROUND(N171*VATRate,2),0))</f>
        <v/>
      </c>
      <c r="P171" s="31">
        <f>IF(N171="","",N171+O171)</f>
        <v/>
      </c>
    </row>
    <row r="172">
      <c r="A172" s="26" t="n"/>
      <c r="B172" s="27">
        <f>IF(A172="","",IF(OR(A172&lt;MIN(Lists!$C$4:$C$15),A172&gt;MAX(Lists!$D$4:$D$15)),"No period",INDEX(Lists!$B$4:$B$15,MATCH(A172,Lists!$C$4:$C$15,1))))</f>
        <v/>
      </c>
      <c r="C172" s="28">
        <f>IF(B172="","",IFERROR(INDEX(Lists!$A$4:$A$15,MATCH(B172,Lists!$B$4:$B$15,0)),0))</f>
        <v/>
      </c>
      <c r="D172" s="25" t="n"/>
      <c r="E172" s="24" t="n"/>
      <c r="F172" s="27">
        <f>IF(E172="","",IFERROR(INDEX(Lists!$H$4:$H$40,MATCH(E172,Lists!$F$4:$F$40,0)),"UNMAPPED"))</f>
        <v/>
      </c>
      <c r="G172" s="25" t="n"/>
      <c r="H172" s="25" t="n"/>
      <c r="I172" s="25" t="n"/>
      <c r="J172" s="25" t="n"/>
      <c r="K172" s="25" t="n"/>
      <c r="L172" s="29" t="n"/>
      <c r="M172" s="25" t="n"/>
      <c r="N172" s="30" t="n"/>
      <c r="O172" s="31">
        <f>IF(N172="","",IF(G172="Revenue",ROUND(N172*VATRate,2),0))</f>
        <v/>
      </c>
      <c r="P172" s="31">
        <f>IF(N172="","",N172+O172)</f>
        <v/>
      </c>
    </row>
    <row r="173">
      <c r="A173" s="26" t="n"/>
      <c r="B173" s="27">
        <f>IF(A173="","",IF(OR(A173&lt;MIN(Lists!$C$4:$C$15),A173&gt;MAX(Lists!$D$4:$D$15)),"No period",INDEX(Lists!$B$4:$B$15,MATCH(A173,Lists!$C$4:$C$15,1))))</f>
        <v/>
      </c>
      <c r="C173" s="28">
        <f>IF(B173="","",IFERROR(INDEX(Lists!$A$4:$A$15,MATCH(B173,Lists!$B$4:$B$15,0)),0))</f>
        <v/>
      </c>
      <c r="D173" s="25" t="n"/>
      <c r="E173" s="24" t="n"/>
      <c r="F173" s="27">
        <f>IF(E173="","",IFERROR(INDEX(Lists!$H$4:$H$40,MATCH(E173,Lists!$F$4:$F$40,0)),"UNMAPPED"))</f>
        <v/>
      </c>
      <c r="G173" s="25" t="n"/>
      <c r="H173" s="25" t="n"/>
      <c r="I173" s="25" t="n"/>
      <c r="J173" s="25" t="n"/>
      <c r="K173" s="25" t="n"/>
      <c r="L173" s="29" t="n"/>
      <c r="M173" s="25" t="n"/>
      <c r="N173" s="30" t="n"/>
      <c r="O173" s="31">
        <f>IF(N173="","",IF(G173="Revenue",ROUND(N173*VATRate,2),0))</f>
        <v/>
      </c>
      <c r="P173" s="31">
        <f>IF(N173="","",N173+O173)</f>
        <v/>
      </c>
    </row>
    <row r="174">
      <c r="A174" s="26" t="n"/>
      <c r="B174" s="27">
        <f>IF(A174="","",IF(OR(A174&lt;MIN(Lists!$C$4:$C$15),A174&gt;MAX(Lists!$D$4:$D$15)),"No period",INDEX(Lists!$B$4:$B$15,MATCH(A174,Lists!$C$4:$C$15,1))))</f>
        <v/>
      </c>
      <c r="C174" s="28">
        <f>IF(B174="","",IFERROR(INDEX(Lists!$A$4:$A$15,MATCH(B174,Lists!$B$4:$B$15,0)),0))</f>
        <v/>
      </c>
      <c r="D174" s="25" t="n"/>
      <c r="E174" s="24" t="n"/>
      <c r="F174" s="27">
        <f>IF(E174="","",IFERROR(INDEX(Lists!$H$4:$H$40,MATCH(E174,Lists!$F$4:$F$40,0)),"UNMAPPED"))</f>
        <v/>
      </c>
      <c r="G174" s="25" t="n"/>
      <c r="H174" s="25" t="n"/>
      <c r="I174" s="25" t="n"/>
      <c r="J174" s="25" t="n"/>
      <c r="K174" s="25" t="n"/>
      <c r="L174" s="29" t="n"/>
      <c r="M174" s="25" t="n"/>
      <c r="N174" s="30" t="n"/>
      <c r="O174" s="31">
        <f>IF(N174="","",IF(G174="Revenue",ROUND(N174*VATRate,2),0))</f>
        <v/>
      </c>
      <c r="P174" s="31">
        <f>IF(N174="","",N174+O174)</f>
        <v/>
      </c>
    </row>
    <row r="175">
      <c r="A175" s="26" t="n"/>
      <c r="B175" s="27">
        <f>IF(A175="","",IF(OR(A175&lt;MIN(Lists!$C$4:$C$15),A175&gt;MAX(Lists!$D$4:$D$15)),"No period",INDEX(Lists!$B$4:$B$15,MATCH(A175,Lists!$C$4:$C$15,1))))</f>
        <v/>
      </c>
      <c r="C175" s="28">
        <f>IF(B175="","",IFERROR(INDEX(Lists!$A$4:$A$15,MATCH(B175,Lists!$B$4:$B$15,0)),0))</f>
        <v/>
      </c>
      <c r="D175" s="25" t="n"/>
      <c r="E175" s="24" t="n"/>
      <c r="F175" s="27">
        <f>IF(E175="","",IFERROR(INDEX(Lists!$H$4:$H$40,MATCH(E175,Lists!$F$4:$F$40,0)),"UNMAPPED"))</f>
        <v/>
      </c>
      <c r="G175" s="25" t="n"/>
      <c r="H175" s="25" t="n"/>
      <c r="I175" s="25" t="n"/>
      <c r="J175" s="25" t="n"/>
      <c r="K175" s="25" t="n"/>
      <c r="L175" s="29" t="n"/>
      <c r="M175" s="25" t="n"/>
      <c r="N175" s="30" t="n"/>
      <c r="O175" s="31">
        <f>IF(N175="","",IF(G175="Revenue",ROUND(N175*VATRate,2),0))</f>
        <v/>
      </c>
      <c r="P175" s="31">
        <f>IF(N175="","",N175+O175)</f>
        <v/>
      </c>
    </row>
    <row r="176">
      <c r="A176" s="26" t="n"/>
      <c r="B176" s="27">
        <f>IF(A176="","",IF(OR(A176&lt;MIN(Lists!$C$4:$C$15),A176&gt;MAX(Lists!$D$4:$D$15)),"No period",INDEX(Lists!$B$4:$B$15,MATCH(A176,Lists!$C$4:$C$15,1))))</f>
        <v/>
      </c>
      <c r="C176" s="28">
        <f>IF(B176="","",IFERROR(INDEX(Lists!$A$4:$A$15,MATCH(B176,Lists!$B$4:$B$15,0)),0))</f>
        <v/>
      </c>
      <c r="D176" s="25" t="n"/>
      <c r="E176" s="24" t="n"/>
      <c r="F176" s="27">
        <f>IF(E176="","",IFERROR(INDEX(Lists!$H$4:$H$40,MATCH(E176,Lists!$F$4:$F$40,0)),"UNMAPPED"))</f>
        <v/>
      </c>
      <c r="G176" s="25" t="n"/>
      <c r="H176" s="25" t="n"/>
      <c r="I176" s="25" t="n"/>
      <c r="J176" s="25" t="n"/>
      <c r="K176" s="25" t="n"/>
      <c r="L176" s="29" t="n"/>
      <c r="M176" s="25" t="n"/>
      <c r="N176" s="30" t="n"/>
      <c r="O176" s="31">
        <f>IF(N176="","",IF(G176="Revenue",ROUND(N176*VATRate,2),0))</f>
        <v/>
      </c>
      <c r="P176" s="31">
        <f>IF(N176="","",N176+O176)</f>
        <v/>
      </c>
    </row>
    <row r="177">
      <c r="A177" s="26" t="n"/>
      <c r="B177" s="27">
        <f>IF(A177="","",IF(OR(A177&lt;MIN(Lists!$C$4:$C$15),A177&gt;MAX(Lists!$D$4:$D$15)),"No period",INDEX(Lists!$B$4:$B$15,MATCH(A177,Lists!$C$4:$C$15,1))))</f>
        <v/>
      </c>
      <c r="C177" s="28">
        <f>IF(B177="","",IFERROR(INDEX(Lists!$A$4:$A$15,MATCH(B177,Lists!$B$4:$B$15,0)),0))</f>
        <v/>
      </c>
      <c r="D177" s="25" t="n"/>
      <c r="E177" s="24" t="n"/>
      <c r="F177" s="27">
        <f>IF(E177="","",IFERROR(INDEX(Lists!$H$4:$H$40,MATCH(E177,Lists!$F$4:$F$40,0)),"UNMAPPED"))</f>
        <v/>
      </c>
      <c r="G177" s="25" t="n"/>
      <c r="H177" s="25" t="n"/>
      <c r="I177" s="25" t="n"/>
      <c r="J177" s="25" t="n"/>
      <c r="K177" s="25" t="n"/>
      <c r="L177" s="29" t="n"/>
      <c r="M177" s="25" t="n"/>
      <c r="N177" s="30" t="n"/>
      <c r="O177" s="31">
        <f>IF(N177="","",IF(G177="Revenue",ROUND(N177*VATRate,2),0))</f>
        <v/>
      </c>
      <c r="P177" s="31">
        <f>IF(N177="","",N177+O177)</f>
        <v/>
      </c>
    </row>
    <row r="178">
      <c r="A178" s="26" t="n"/>
      <c r="B178" s="27">
        <f>IF(A178="","",IF(OR(A178&lt;MIN(Lists!$C$4:$C$15),A178&gt;MAX(Lists!$D$4:$D$15)),"No period",INDEX(Lists!$B$4:$B$15,MATCH(A178,Lists!$C$4:$C$15,1))))</f>
        <v/>
      </c>
      <c r="C178" s="28">
        <f>IF(B178="","",IFERROR(INDEX(Lists!$A$4:$A$15,MATCH(B178,Lists!$B$4:$B$15,0)),0))</f>
        <v/>
      </c>
      <c r="D178" s="25" t="n"/>
      <c r="E178" s="24" t="n"/>
      <c r="F178" s="27">
        <f>IF(E178="","",IFERROR(INDEX(Lists!$H$4:$H$40,MATCH(E178,Lists!$F$4:$F$40,0)),"UNMAPPED"))</f>
        <v/>
      </c>
      <c r="G178" s="25" t="n"/>
      <c r="H178" s="25" t="n"/>
      <c r="I178" s="25" t="n"/>
      <c r="J178" s="25" t="n"/>
      <c r="K178" s="25" t="n"/>
      <c r="L178" s="29" t="n"/>
      <c r="M178" s="25" t="n"/>
      <c r="N178" s="30" t="n"/>
      <c r="O178" s="31">
        <f>IF(N178="","",IF(G178="Revenue",ROUND(N178*VATRate,2),0))</f>
        <v/>
      </c>
      <c r="P178" s="31">
        <f>IF(N178="","",N178+O178)</f>
        <v/>
      </c>
    </row>
    <row r="179">
      <c r="A179" s="26" t="n"/>
      <c r="B179" s="27">
        <f>IF(A179="","",IF(OR(A179&lt;MIN(Lists!$C$4:$C$15),A179&gt;MAX(Lists!$D$4:$D$15)),"No period",INDEX(Lists!$B$4:$B$15,MATCH(A179,Lists!$C$4:$C$15,1))))</f>
        <v/>
      </c>
      <c r="C179" s="28">
        <f>IF(B179="","",IFERROR(INDEX(Lists!$A$4:$A$15,MATCH(B179,Lists!$B$4:$B$15,0)),0))</f>
        <v/>
      </c>
      <c r="D179" s="25" t="n"/>
      <c r="E179" s="24" t="n"/>
      <c r="F179" s="27">
        <f>IF(E179="","",IFERROR(INDEX(Lists!$H$4:$H$40,MATCH(E179,Lists!$F$4:$F$40,0)),"UNMAPPED"))</f>
        <v/>
      </c>
      <c r="G179" s="25" t="n"/>
      <c r="H179" s="25" t="n"/>
      <c r="I179" s="25" t="n"/>
      <c r="J179" s="25" t="n"/>
      <c r="K179" s="25" t="n"/>
      <c r="L179" s="29" t="n"/>
      <c r="M179" s="25" t="n"/>
      <c r="N179" s="30" t="n"/>
      <c r="O179" s="31">
        <f>IF(N179="","",IF(G179="Revenue",ROUND(N179*VATRate,2),0))</f>
        <v/>
      </c>
      <c r="P179" s="31">
        <f>IF(N179="","",N179+O179)</f>
        <v/>
      </c>
    </row>
    <row r="180">
      <c r="A180" s="26" t="n"/>
      <c r="B180" s="27">
        <f>IF(A180="","",IF(OR(A180&lt;MIN(Lists!$C$4:$C$15),A180&gt;MAX(Lists!$D$4:$D$15)),"No period",INDEX(Lists!$B$4:$B$15,MATCH(A180,Lists!$C$4:$C$15,1))))</f>
        <v/>
      </c>
      <c r="C180" s="28">
        <f>IF(B180="","",IFERROR(INDEX(Lists!$A$4:$A$15,MATCH(B180,Lists!$B$4:$B$15,0)),0))</f>
        <v/>
      </c>
      <c r="D180" s="25" t="n"/>
      <c r="E180" s="24" t="n"/>
      <c r="F180" s="27">
        <f>IF(E180="","",IFERROR(INDEX(Lists!$H$4:$H$40,MATCH(E180,Lists!$F$4:$F$40,0)),"UNMAPPED"))</f>
        <v/>
      </c>
      <c r="G180" s="25" t="n"/>
      <c r="H180" s="25" t="n"/>
      <c r="I180" s="25" t="n"/>
      <c r="J180" s="25" t="n"/>
      <c r="K180" s="25" t="n"/>
      <c r="L180" s="29" t="n"/>
      <c r="M180" s="25" t="n"/>
      <c r="N180" s="30" t="n"/>
      <c r="O180" s="31">
        <f>IF(N180="","",IF(G180="Revenue",ROUND(N180*VATRate,2),0))</f>
        <v/>
      </c>
      <c r="P180" s="31">
        <f>IF(N180="","",N180+O180)</f>
        <v/>
      </c>
    </row>
    <row r="181">
      <c r="A181" s="26" t="n"/>
      <c r="B181" s="27">
        <f>IF(A181="","",IF(OR(A181&lt;MIN(Lists!$C$4:$C$15),A181&gt;MAX(Lists!$D$4:$D$15)),"No period",INDEX(Lists!$B$4:$B$15,MATCH(A181,Lists!$C$4:$C$15,1))))</f>
        <v/>
      </c>
      <c r="C181" s="28">
        <f>IF(B181="","",IFERROR(INDEX(Lists!$A$4:$A$15,MATCH(B181,Lists!$B$4:$B$15,0)),0))</f>
        <v/>
      </c>
      <c r="D181" s="25" t="n"/>
      <c r="E181" s="24" t="n"/>
      <c r="F181" s="27">
        <f>IF(E181="","",IFERROR(INDEX(Lists!$H$4:$H$40,MATCH(E181,Lists!$F$4:$F$40,0)),"UNMAPPED"))</f>
        <v/>
      </c>
      <c r="G181" s="25" t="n"/>
      <c r="H181" s="25" t="n"/>
      <c r="I181" s="25" t="n"/>
      <c r="J181" s="25" t="n"/>
      <c r="K181" s="25" t="n"/>
      <c r="L181" s="29" t="n"/>
      <c r="M181" s="25" t="n"/>
      <c r="N181" s="30" t="n"/>
      <c r="O181" s="31">
        <f>IF(N181="","",IF(G181="Revenue",ROUND(N181*VATRate,2),0))</f>
        <v/>
      </c>
      <c r="P181" s="31">
        <f>IF(N181="","",N181+O181)</f>
        <v/>
      </c>
    </row>
    <row r="182">
      <c r="A182" s="26" t="n"/>
      <c r="B182" s="27">
        <f>IF(A182="","",IF(OR(A182&lt;MIN(Lists!$C$4:$C$15),A182&gt;MAX(Lists!$D$4:$D$15)),"No period",INDEX(Lists!$B$4:$B$15,MATCH(A182,Lists!$C$4:$C$15,1))))</f>
        <v/>
      </c>
      <c r="C182" s="28">
        <f>IF(B182="","",IFERROR(INDEX(Lists!$A$4:$A$15,MATCH(B182,Lists!$B$4:$B$15,0)),0))</f>
        <v/>
      </c>
      <c r="D182" s="25" t="n"/>
      <c r="E182" s="24" t="n"/>
      <c r="F182" s="27">
        <f>IF(E182="","",IFERROR(INDEX(Lists!$H$4:$H$40,MATCH(E182,Lists!$F$4:$F$40,0)),"UNMAPPED"))</f>
        <v/>
      </c>
      <c r="G182" s="25" t="n"/>
      <c r="H182" s="25" t="n"/>
      <c r="I182" s="25" t="n"/>
      <c r="J182" s="25" t="n"/>
      <c r="K182" s="25" t="n"/>
      <c r="L182" s="29" t="n"/>
      <c r="M182" s="25" t="n"/>
      <c r="N182" s="30" t="n"/>
      <c r="O182" s="31">
        <f>IF(N182="","",IF(G182="Revenue",ROUND(N182*VATRate,2),0))</f>
        <v/>
      </c>
      <c r="P182" s="31">
        <f>IF(N182="","",N182+O182)</f>
        <v/>
      </c>
    </row>
    <row r="183">
      <c r="A183" s="26" t="n"/>
      <c r="B183" s="27">
        <f>IF(A183="","",IF(OR(A183&lt;MIN(Lists!$C$4:$C$15),A183&gt;MAX(Lists!$D$4:$D$15)),"No period",INDEX(Lists!$B$4:$B$15,MATCH(A183,Lists!$C$4:$C$15,1))))</f>
        <v/>
      </c>
      <c r="C183" s="28">
        <f>IF(B183="","",IFERROR(INDEX(Lists!$A$4:$A$15,MATCH(B183,Lists!$B$4:$B$15,0)),0))</f>
        <v/>
      </c>
      <c r="D183" s="25" t="n"/>
      <c r="E183" s="24" t="n"/>
      <c r="F183" s="27">
        <f>IF(E183="","",IFERROR(INDEX(Lists!$H$4:$H$40,MATCH(E183,Lists!$F$4:$F$40,0)),"UNMAPPED"))</f>
        <v/>
      </c>
      <c r="G183" s="25" t="n"/>
      <c r="H183" s="25" t="n"/>
      <c r="I183" s="25" t="n"/>
      <c r="J183" s="25" t="n"/>
      <c r="K183" s="25" t="n"/>
      <c r="L183" s="29" t="n"/>
      <c r="M183" s="25" t="n"/>
      <c r="N183" s="30" t="n"/>
      <c r="O183" s="31">
        <f>IF(N183="","",IF(G183="Revenue",ROUND(N183*VATRate,2),0))</f>
        <v/>
      </c>
      <c r="P183" s="31">
        <f>IF(N183="","",N183+O183)</f>
        <v/>
      </c>
    </row>
    <row r="184">
      <c r="A184" s="26" t="n"/>
      <c r="B184" s="27">
        <f>IF(A184="","",IF(OR(A184&lt;MIN(Lists!$C$4:$C$15),A184&gt;MAX(Lists!$D$4:$D$15)),"No period",INDEX(Lists!$B$4:$B$15,MATCH(A184,Lists!$C$4:$C$15,1))))</f>
        <v/>
      </c>
      <c r="C184" s="28">
        <f>IF(B184="","",IFERROR(INDEX(Lists!$A$4:$A$15,MATCH(B184,Lists!$B$4:$B$15,0)),0))</f>
        <v/>
      </c>
      <c r="D184" s="25" t="n"/>
      <c r="E184" s="24" t="n"/>
      <c r="F184" s="27">
        <f>IF(E184="","",IFERROR(INDEX(Lists!$H$4:$H$40,MATCH(E184,Lists!$F$4:$F$40,0)),"UNMAPPED"))</f>
        <v/>
      </c>
      <c r="G184" s="25" t="n"/>
      <c r="H184" s="25" t="n"/>
      <c r="I184" s="25" t="n"/>
      <c r="J184" s="25" t="n"/>
      <c r="K184" s="25" t="n"/>
      <c r="L184" s="29" t="n"/>
      <c r="M184" s="25" t="n"/>
      <c r="N184" s="30" t="n"/>
      <c r="O184" s="31">
        <f>IF(N184="","",IF(G184="Revenue",ROUND(N184*VATRate,2),0))</f>
        <v/>
      </c>
      <c r="P184" s="31">
        <f>IF(N184="","",N184+O184)</f>
        <v/>
      </c>
    </row>
    <row r="185">
      <c r="A185" s="26" t="n"/>
      <c r="B185" s="27">
        <f>IF(A185="","",IF(OR(A185&lt;MIN(Lists!$C$4:$C$15),A185&gt;MAX(Lists!$D$4:$D$15)),"No period",INDEX(Lists!$B$4:$B$15,MATCH(A185,Lists!$C$4:$C$15,1))))</f>
        <v/>
      </c>
      <c r="C185" s="28">
        <f>IF(B185="","",IFERROR(INDEX(Lists!$A$4:$A$15,MATCH(B185,Lists!$B$4:$B$15,0)),0))</f>
        <v/>
      </c>
      <c r="D185" s="25" t="n"/>
      <c r="E185" s="24" t="n"/>
      <c r="F185" s="27">
        <f>IF(E185="","",IFERROR(INDEX(Lists!$H$4:$H$40,MATCH(E185,Lists!$F$4:$F$40,0)),"UNMAPPED"))</f>
        <v/>
      </c>
      <c r="G185" s="25" t="n"/>
      <c r="H185" s="25" t="n"/>
      <c r="I185" s="25" t="n"/>
      <c r="J185" s="25" t="n"/>
      <c r="K185" s="25" t="n"/>
      <c r="L185" s="29" t="n"/>
      <c r="M185" s="25" t="n"/>
      <c r="N185" s="30" t="n"/>
      <c r="O185" s="31">
        <f>IF(N185="","",IF(G185="Revenue",ROUND(N185*VATRate,2),0))</f>
        <v/>
      </c>
      <c r="P185" s="31">
        <f>IF(N185="","",N185+O185)</f>
        <v/>
      </c>
    </row>
    <row r="186">
      <c r="A186" s="26" t="n"/>
      <c r="B186" s="27">
        <f>IF(A186="","",IF(OR(A186&lt;MIN(Lists!$C$4:$C$15),A186&gt;MAX(Lists!$D$4:$D$15)),"No period",INDEX(Lists!$B$4:$B$15,MATCH(A186,Lists!$C$4:$C$15,1))))</f>
        <v/>
      </c>
      <c r="C186" s="28">
        <f>IF(B186="","",IFERROR(INDEX(Lists!$A$4:$A$15,MATCH(B186,Lists!$B$4:$B$15,0)),0))</f>
        <v/>
      </c>
      <c r="D186" s="25" t="n"/>
      <c r="E186" s="24" t="n"/>
      <c r="F186" s="27">
        <f>IF(E186="","",IFERROR(INDEX(Lists!$H$4:$H$40,MATCH(E186,Lists!$F$4:$F$40,0)),"UNMAPPED"))</f>
        <v/>
      </c>
      <c r="G186" s="25" t="n"/>
      <c r="H186" s="25" t="n"/>
      <c r="I186" s="25" t="n"/>
      <c r="J186" s="25" t="n"/>
      <c r="K186" s="25" t="n"/>
      <c r="L186" s="29" t="n"/>
      <c r="M186" s="25" t="n"/>
      <c r="N186" s="30" t="n"/>
      <c r="O186" s="31">
        <f>IF(N186="","",IF(G186="Revenue",ROUND(N186*VATRate,2),0))</f>
        <v/>
      </c>
      <c r="P186" s="31">
        <f>IF(N186="","",N186+O186)</f>
        <v/>
      </c>
    </row>
    <row r="187">
      <c r="A187" s="26" t="n"/>
      <c r="B187" s="27">
        <f>IF(A187="","",IF(OR(A187&lt;MIN(Lists!$C$4:$C$15),A187&gt;MAX(Lists!$D$4:$D$15)),"No period",INDEX(Lists!$B$4:$B$15,MATCH(A187,Lists!$C$4:$C$15,1))))</f>
        <v/>
      </c>
      <c r="C187" s="28">
        <f>IF(B187="","",IFERROR(INDEX(Lists!$A$4:$A$15,MATCH(B187,Lists!$B$4:$B$15,0)),0))</f>
        <v/>
      </c>
      <c r="D187" s="25" t="n"/>
      <c r="E187" s="24" t="n"/>
      <c r="F187" s="27">
        <f>IF(E187="","",IFERROR(INDEX(Lists!$H$4:$H$40,MATCH(E187,Lists!$F$4:$F$40,0)),"UNMAPPED"))</f>
        <v/>
      </c>
      <c r="G187" s="25" t="n"/>
      <c r="H187" s="25" t="n"/>
      <c r="I187" s="25" t="n"/>
      <c r="J187" s="25" t="n"/>
      <c r="K187" s="25" t="n"/>
      <c r="L187" s="29" t="n"/>
      <c r="M187" s="25" t="n"/>
      <c r="N187" s="30" t="n"/>
      <c r="O187" s="31">
        <f>IF(N187="","",IF(G187="Revenue",ROUND(N187*VATRate,2),0))</f>
        <v/>
      </c>
      <c r="P187" s="31">
        <f>IF(N187="","",N187+O187)</f>
        <v/>
      </c>
    </row>
    <row r="188">
      <c r="A188" s="26" t="n"/>
      <c r="B188" s="27">
        <f>IF(A188="","",IF(OR(A188&lt;MIN(Lists!$C$4:$C$15),A188&gt;MAX(Lists!$D$4:$D$15)),"No period",INDEX(Lists!$B$4:$B$15,MATCH(A188,Lists!$C$4:$C$15,1))))</f>
        <v/>
      </c>
      <c r="C188" s="28">
        <f>IF(B188="","",IFERROR(INDEX(Lists!$A$4:$A$15,MATCH(B188,Lists!$B$4:$B$15,0)),0))</f>
        <v/>
      </c>
      <c r="D188" s="25" t="n"/>
      <c r="E188" s="24" t="n"/>
      <c r="F188" s="27">
        <f>IF(E188="","",IFERROR(INDEX(Lists!$H$4:$H$40,MATCH(E188,Lists!$F$4:$F$40,0)),"UNMAPPED"))</f>
        <v/>
      </c>
      <c r="G188" s="25" t="n"/>
      <c r="H188" s="25" t="n"/>
      <c r="I188" s="25" t="n"/>
      <c r="J188" s="25" t="n"/>
      <c r="K188" s="25" t="n"/>
      <c r="L188" s="29" t="n"/>
      <c r="M188" s="25" t="n"/>
      <c r="N188" s="30" t="n"/>
      <c r="O188" s="31">
        <f>IF(N188="","",IF(G188="Revenue",ROUND(N188*VATRate,2),0))</f>
        <v/>
      </c>
      <c r="P188" s="31">
        <f>IF(N188="","",N188+O188)</f>
        <v/>
      </c>
    </row>
    <row r="189">
      <c r="A189" s="26" t="n"/>
      <c r="B189" s="27">
        <f>IF(A189="","",IF(OR(A189&lt;MIN(Lists!$C$4:$C$15),A189&gt;MAX(Lists!$D$4:$D$15)),"No period",INDEX(Lists!$B$4:$B$15,MATCH(A189,Lists!$C$4:$C$15,1))))</f>
        <v/>
      </c>
      <c r="C189" s="28">
        <f>IF(B189="","",IFERROR(INDEX(Lists!$A$4:$A$15,MATCH(B189,Lists!$B$4:$B$15,0)),0))</f>
        <v/>
      </c>
      <c r="D189" s="25" t="n"/>
      <c r="E189" s="24" t="n"/>
      <c r="F189" s="27">
        <f>IF(E189="","",IFERROR(INDEX(Lists!$H$4:$H$40,MATCH(E189,Lists!$F$4:$F$40,0)),"UNMAPPED"))</f>
        <v/>
      </c>
      <c r="G189" s="25" t="n"/>
      <c r="H189" s="25" t="n"/>
      <c r="I189" s="25" t="n"/>
      <c r="J189" s="25" t="n"/>
      <c r="K189" s="25" t="n"/>
      <c r="L189" s="29" t="n"/>
      <c r="M189" s="25" t="n"/>
      <c r="N189" s="30" t="n"/>
      <c r="O189" s="31">
        <f>IF(N189="","",IF(G189="Revenue",ROUND(N189*VATRate,2),0))</f>
        <v/>
      </c>
      <c r="P189" s="31">
        <f>IF(N189="","",N189+O189)</f>
        <v/>
      </c>
    </row>
    <row r="190">
      <c r="A190" s="26" t="n"/>
      <c r="B190" s="27">
        <f>IF(A190="","",IF(OR(A190&lt;MIN(Lists!$C$4:$C$15),A190&gt;MAX(Lists!$D$4:$D$15)),"No period",INDEX(Lists!$B$4:$B$15,MATCH(A190,Lists!$C$4:$C$15,1))))</f>
        <v/>
      </c>
      <c r="C190" s="28">
        <f>IF(B190="","",IFERROR(INDEX(Lists!$A$4:$A$15,MATCH(B190,Lists!$B$4:$B$15,0)),0))</f>
        <v/>
      </c>
      <c r="D190" s="25" t="n"/>
      <c r="E190" s="24" t="n"/>
      <c r="F190" s="27">
        <f>IF(E190="","",IFERROR(INDEX(Lists!$H$4:$H$40,MATCH(E190,Lists!$F$4:$F$40,0)),"UNMAPPED"))</f>
        <v/>
      </c>
      <c r="G190" s="25" t="n"/>
      <c r="H190" s="25" t="n"/>
      <c r="I190" s="25" t="n"/>
      <c r="J190" s="25" t="n"/>
      <c r="K190" s="25" t="n"/>
      <c r="L190" s="29" t="n"/>
      <c r="M190" s="25" t="n"/>
      <c r="N190" s="30" t="n"/>
      <c r="O190" s="31">
        <f>IF(N190="","",IF(G190="Revenue",ROUND(N190*VATRate,2),0))</f>
        <v/>
      </c>
      <c r="P190" s="31">
        <f>IF(N190="","",N190+O190)</f>
        <v/>
      </c>
    </row>
    <row r="191">
      <c r="A191" s="26" t="n"/>
      <c r="B191" s="27">
        <f>IF(A191="","",IF(OR(A191&lt;MIN(Lists!$C$4:$C$15),A191&gt;MAX(Lists!$D$4:$D$15)),"No period",INDEX(Lists!$B$4:$B$15,MATCH(A191,Lists!$C$4:$C$15,1))))</f>
        <v/>
      </c>
      <c r="C191" s="28">
        <f>IF(B191="","",IFERROR(INDEX(Lists!$A$4:$A$15,MATCH(B191,Lists!$B$4:$B$15,0)),0))</f>
        <v/>
      </c>
      <c r="D191" s="25" t="n"/>
      <c r="E191" s="24" t="n"/>
      <c r="F191" s="27">
        <f>IF(E191="","",IFERROR(INDEX(Lists!$H$4:$H$40,MATCH(E191,Lists!$F$4:$F$40,0)),"UNMAPPED"))</f>
        <v/>
      </c>
      <c r="G191" s="25" t="n"/>
      <c r="H191" s="25" t="n"/>
      <c r="I191" s="25" t="n"/>
      <c r="J191" s="25" t="n"/>
      <c r="K191" s="25" t="n"/>
      <c r="L191" s="29" t="n"/>
      <c r="M191" s="25" t="n"/>
      <c r="N191" s="30" t="n"/>
      <c r="O191" s="31">
        <f>IF(N191="","",IF(G191="Revenue",ROUND(N191*VATRate,2),0))</f>
        <v/>
      </c>
      <c r="P191" s="31">
        <f>IF(N191="","",N191+O191)</f>
        <v/>
      </c>
    </row>
    <row r="192">
      <c r="A192" s="26" t="n"/>
      <c r="B192" s="27">
        <f>IF(A192="","",IF(OR(A192&lt;MIN(Lists!$C$4:$C$15),A192&gt;MAX(Lists!$D$4:$D$15)),"No period",INDEX(Lists!$B$4:$B$15,MATCH(A192,Lists!$C$4:$C$15,1))))</f>
        <v/>
      </c>
      <c r="C192" s="28">
        <f>IF(B192="","",IFERROR(INDEX(Lists!$A$4:$A$15,MATCH(B192,Lists!$B$4:$B$15,0)),0))</f>
        <v/>
      </c>
      <c r="D192" s="25" t="n"/>
      <c r="E192" s="24" t="n"/>
      <c r="F192" s="27">
        <f>IF(E192="","",IFERROR(INDEX(Lists!$H$4:$H$40,MATCH(E192,Lists!$F$4:$F$40,0)),"UNMAPPED"))</f>
        <v/>
      </c>
      <c r="G192" s="25" t="n"/>
      <c r="H192" s="25" t="n"/>
      <c r="I192" s="25" t="n"/>
      <c r="J192" s="25" t="n"/>
      <c r="K192" s="25" t="n"/>
      <c r="L192" s="29" t="n"/>
      <c r="M192" s="25" t="n"/>
      <c r="N192" s="30" t="n"/>
      <c r="O192" s="31">
        <f>IF(N192="","",IF(G192="Revenue",ROUND(N192*VATRate,2),0))</f>
        <v/>
      </c>
      <c r="P192" s="31">
        <f>IF(N192="","",N192+O192)</f>
        <v/>
      </c>
    </row>
    <row r="193">
      <c r="A193" s="26" t="n"/>
      <c r="B193" s="27">
        <f>IF(A193="","",IF(OR(A193&lt;MIN(Lists!$C$4:$C$15),A193&gt;MAX(Lists!$D$4:$D$15)),"No period",INDEX(Lists!$B$4:$B$15,MATCH(A193,Lists!$C$4:$C$15,1))))</f>
        <v/>
      </c>
      <c r="C193" s="28">
        <f>IF(B193="","",IFERROR(INDEX(Lists!$A$4:$A$15,MATCH(B193,Lists!$B$4:$B$15,0)),0))</f>
        <v/>
      </c>
      <c r="D193" s="25" t="n"/>
      <c r="E193" s="24" t="n"/>
      <c r="F193" s="27">
        <f>IF(E193="","",IFERROR(INDEX(Lists!$H$4:$H$40,MATCH(E193,Lists!$F$4:$F$40,0)),"UNMAPPED"))</f>
        <v/>
      </c>
      <c r="G193" s="25" t="n"/>
      <c r="H193" s="25" t="n"/>
      <c r="I193" s="25" t="n"/>
      <c r="J193" s="25" t="n"/>
      <c r="K193" s="25" t="n"/>
      <c r="L193" s="29" t="n"/>
      <c r="M193" s="25" t="n"/>
      <c r="N193" s="30" t="n"/>
      <c r="O193" s="31">
        <f>IF(N193="","",IF(G193="Revenue",ROUND(N193*VATRate,2),0))</f>
        <v/>
      </c>
      <c r="P193" s="31">
        <f>IF(N193="","",N193+O193)</f>
        <v/>
      </c>
    </row>
    <row r="194">
      <c r="A194" s="26" t="n"/>
      <c r="B194" s="27">
        <f>IF(A194="","",IF(OR(A194&lt;MIN(Lists!$C$4:$C$15),A194&gt;MAX(Lists!$D$4:$D$15)),"No period",INDEX(Lists!$B$4:$B$15,MATCH(A194,Lists!$C$4:$C$15,1))))</f>
        <v/>
      </c>
      <c r="C194" s="28">
        <f>IF(B194="","",IFERROR(INDEX(Lists!$A$4:$A$15,MATCH(B194,Lists!$B$4:$B$15,0)),0))</f>
        <v/>
      </c>
      <c r="D194" s="25" t="n"/>
      <c r="E194" s="24" t="n"/>
      <c r="F194" s="27">
        <f>IF(E194="","",IFERROR(INDEX(Lists!$H$4:$H$40,MATCH(E194,Lists!$F$4:$F$40,0)),"UNMAPPED"))</f>
        <v/>
      </c>
      <c r="G194" s="25" t="n"/>
      <c r="H194" s="25" t="n"/>
      <c r="I194" s="25" t="n"/>
      <c r="J194" s="25" t="n"/>
      <c r="K194" s="25" t="n"/>
      <c r="L194" s="29" t="n"/>
      <c r="M194" s="25" t="n"/>
      <c r="N194" s="30" t="n"/>
      <c r="O194" s="31">
        <f>IF(N194="","",IF(G194="Revenue",ROUND(N194*VATRate,2),0))</f>
        <v/>
      </c>
      <c r="P194" s="31">
        <f>IF(N194="","",N194+O194)</f>
        <v/>
      </c>
    </row>
    <row r="195">
      <c r="A195" s="26" t="n"/>
      <c r="B195" s="27">
        <f>IF(A195="","",IF(OR(A195&lt;MIN(Lists!$C$4:$C$15),A195&gt;MAX(Lists!$D$4:$D$15)),"No period",INDEX(Lists!$B$4:$B$15,MATCH(A195,Lists!$C$4:$C$15,1))))</f>
        <v/>
      </c>
      <c r="C195" s="28">
        <f>IF(B195="","",IFERROR(INDEX(Lists!$A$4:$A$15,MATCH(B195,Lists!$B$4:$B$15,0)),0))</f>
        <v/>
      </c>
      <c r="D195" s="25" t="n"/>
      <c r="E195" s="24" t="n"/>
      <c r="F195" s="27">
        <f>IF(E195="","",IFERROR(INDEX(Lists!$H$4:$H$40,MATCH(E195,Lists!$F$4:$F$40,0)),"UNMAPPED"))</f>
        <v/>
      </c>
      <c r="G195" s="25" t="n"/>
      <c r="H195" s="25" t="n"/>
      <c r="I195" s="25" t="n"/>
      <c r="J195" s="25" t="n"/>
      <c r="K195" s="25" t="n"/>
      <c r="L195" s="29" t="n"/>
      <c r="M195" s="25" t="n"/>
      <c r="N195" s="30" t="n"/>
      <c r="O195" s="31">
        <f>IF(N195="","",IF(G195="Revenue",ROUND(N195*VATRate,2),0))</f>
        <v/>
      </c>
      <c r="P195" s="31">
        <f>IF(N195="","",N195+O195)</f>
        <v/>
      </c>
    </row>
    <row r="196">
      <c r="A196" s="26" t="n"/>
      <c r="B196" s="27">
        <f>IF(A196="","",IF(OR(A196&lt;MIN(Lists!$C$4:$C$15),A196&gt;MAX(Lists!$D$4:$D$15)),"No period",INDEX(Lists!$B$4:$B$15,MATCH(A196,Lists!$C$4:$C$15,1))))</f>
        <v/>
      </c>
      <c r="C196" s="28">
        <f>IF(B196="","",IFERROR(INDEX(Lists!$A$4:$A$15,MATCH(B196,Lists!$B$4:$B$15,0)),0))</f>
        <v/>
      </c>
      <c r="D196" s="25" t="n"/>
      <c r="E196" s="24" t="n"/>
      <c r="F196" s="27">
        <f>IF(E196="","",IFERROR(INDEX(Lists!$H$4:$H$40,MATCH(E196,Lists!$F$4:$F$40,0)),"UNMAPPED"))</f>
        <v/>
      </c>
      <c r="G196" s="25" t="n"/>
      <c r="H196" s="25" t="n"/>
      <c r="I196" s="25" t="n"/>
      <c r="J196" s="25" t="n"/>
      <c r="K196" s="25" t="n"/>
      <c r="L196" s="29" t="n"/>
      <c r="M196" s="25" t="n"/>
      <c r="N196" s="30" t="n"/>
      <c r="O196" s="31">
        <f>IF(N196="","",IF(G196="Revenue",ROUND(N196*VATRate,2),0))</f>
        <v/>
      </c>
      <c r="P196" s="31">
        <f>IF(N196="","",N196+O196)</f>
        <v/>
      </c>
    </row>
    <row r="197">
      <c r="A197" s="26" t="n"/>
      <c r="B197" s="27">
        <f>IF(A197="","",IF(OR(A197&lt;MIN(Lists!$C$4:$C$15),A197&gt;MAX(Lists!$D$4:$D$15)),"No period",INDEX(Lists!$B$4:$B$15,MATCH(A197,Lists!$C$4:$C$15,1))))</f>
        <v/>
      </c>
      <c r="C197" s="28">
        <f>IF(B197="","",IFERROR(INDEX(Lists!$A$4:$A$15,MATCH(B197,Lists!$B$4:$B$15,0)),0))</f>
        <v/>
      </c>
      <c r="D197" s="25" t="n"/>
      <c r="E197" s="24" t="n"/>
      <c r="F197" s="27">
        <f>IF(E197="","",IFERROR(INDEX(Lists!$H$4:$H$40,MATCH(E197,Lists!$F$4:$F$40,0)),"UNMAPPED"))</f>
        <v/>
      </c>
      <c r="G197" s="25" t="n"/>
      <c r="H197" s="25" t="n"/>
      <c r="I197" s="25" t="n"/>
      <c r="J197" s="25" t="n"/>
      <c r="K197" s="25" t="n"/>
      <c r="L197" s="29" t="n"/>
      <c r="M197" s="25" t="n"/>
      <c r="N197" s="30" t="n"/>
      <c r="O197" s="31">
        <f>IF(N197="","",IF(G197="Revenue",ROUND(N197*VATRate,2),0))</f>
        <v/>
      </c>
      <c r="P197" s="31">
        <f>IF(N197="","",N197+O197)</f>
        <v/>
      </c>
    </row>
    <row r="198">
      <c r="A198" s="26" t="n"/>
      <c r="B198" s="27">
        <f>IF(A198="","",IF(OR(A198&lt;MIN(Lists!$C$4:$C$15),A198&gt;MAX(Lists!$D$4:$D$15)),"No period",INDEX(Lists!$B$4:$B$15,MATCH(A198,Lists!$C$4:$C$15,1))))</f>
        <v/>
      </c>
      <c r="C198" s="28">
        <f>IF(B198="","",IFERROR(INDEX(Lists!$A$4:$A$15,MATCH(B198,Lists!$B$4:$B$15,0)),0))</f>
        <v/>
      </c>
      <c r="D198" s="25" t="n"/>
      <c r="E198" s="24" t="n"/>
      <c r="F198" s="27">
        <f>IF(E198="","",IFERROR(INDEX(Lists!$H$4:$H$40,MATCH(E198,Lists!$F$4:$F$40,0)),"UNMAPPED"))</f>
        <v/>
      </c>
      <c r="G198" s="25" t="n"/>
      <c r="H198" s="25" t="n"/>
      <c r="I198" s="25" t="n"/>
      <c r="J198" s="25" t="n"/>
      <c r="K198" s="25" t="n"/>
      <c r="L198" s="29" t="n"/>
      <c r="M198" s="25" t="n"/>
      <c r="N198" s="30" t="n"/>
      <c r="O198" s="31">
        <f>IF(N198="","",IF(G198="Revenue",ROUND(N198*VATRate,2),0))</f>
        <v/>
      </c>
      <c r="P198" s="31">
        <f>IF(N198="","",N198+O198)</f>
        <v/>
      </c>
    </row>
    <row r="199">
      <c r="A199" s="26" t="n"/>
      <c r="B199" s="27">
        <f>IF(A199="","",IF(OR(A199&lt;MIN(Lists!$C$4:$C$15),A199&gt;MAX(Lists!$D$4:$D$15)),"No period",INDEX(Lists!$B$4:$B$15,MATCH(A199,Lists!$C$4:$C$15,1))))</f>
        <v/>
      </c>
      <c r="C199" s="28">
        <f>IF(B199="","",IFERROR(INDEX(Lists!$A$4:$A$15,MATCH(B199,Lists!$B$4:$B$15,0)),0))</f>
        <v/>
      </c>
      <c r="D199" s="25" t="n"/>
      <c r="E199" s="24" t="n"/>
      <c r="F199" s="27">
        <f>IF(E199="","",IFERROR(INDEX(Lists!$H$4:$H$40,MATCH(E199,Lists!$F$4:$F$40,0)),"UNMAPPED"))</f>
        <v/>
      </c>
      <c r="G199" s="25" t="n"/>
      <c r="H199" s="25" t="n"/>
      <c r="I199" s="25" t="n"/>
      <c r="J199" s="25" t="n"/>
      <c r="K199" s="25" t="n"/>
      <c r="L199" s="29" t="n"/>
      <c r="M199" s="25" t="n"/>
      <c r="N199" s="30" t="n"/>
      <c r="O199" s="31">
        <f>IF(N199="","",IF(G199="Revenue",ROUND(N199*VATRate,2),0))</f>
        <v/>
      </c>
      <c r="P199" s="31">
        <f>IF(N199="","",N199+O199)</f>
        <v/>
      </c>
    </row>
    <row r="200">
      <c r="A200" s="26" t="n"/>
      <c r="B200" s="27">
        <f>IF(A200="","",IF(OR(A200&lt;MIN(Lists!$C$4:$C$15),A200&gt;MAX(Lists!$D$4:$D$15)),"No period",INDEX(Lists!$B$4:$B$15,MATCH(A200,Lists!$C$4:$C$15,1))))</f>
        <v/>
      </c>
      <c r="C200" s="28">
        <f>IF(B200="","",IFERROR(INDEX(Lists!$A$4:$A$15,MATCH(B200,Lists!$B$4:$B$15,0)),0))</f>
        <v/>
      </c>
      <c r="D200" s="25" t="n"/>
      <c r="E200" s="24" t="n"/>
      <c r="F200" s="27">
        <f>IF(E200="","",IFERROR(INDEX(Lists!$H$4:$H$40,MATCH(E200,Lists!$F$4:$F$40,0)),"UNMAPPED"))</f>
        <v/>
      </c>
      <c r="G200" s="25" t="n"/>
      <c r="H200" s="25" t="n"/>
      <c r="I200" s="25" t="n"/>
      <c r="J200" s="25" t="n"/>
      <c r="K200" s="25" t="n"/>
      <c r="L200" s="29" t="n"/>
      <c r="M200" s="25" t="n"/>
      <c r="N200" s="30" t="n"/>
      <c r="O200" s="31">
        <f>IF(N200="","",IF(G200="Revenue",ROUND(N200*VATRate,2),0))</f>
        <v/>
      </c>
      <c r="P200" s="31">
        <f>IF(N200="","",N200+O200)</f>
        <v/>
      </c>
    </row>
    <row r="201">
      <c r="A201" s="26" t="n"/>
      <c r="B201" s="27">
        <f>IF(A201="","",IF(OR(A201&lt;MIN(Lists!$C$4:$C$15),A201&gt;MAX(Lists!$D$4:$D$15)),"No period",INDEX(Lists!$B$4:$B$15,MATCH(A201,Lists!$C$4:$C$15,1))))</f>
        <v/>
      </c>
      <c r="C201" s="28">
        <f>IF(B201="","",IFERROR(INDEX(Lists!$A$4:$A$15,MATCH(B201,Lists!$B$4:$B$15,0)),0))</f>
        <v/>
      </c>
      <c r="D201" s="25" t="n"/>
      <c r="E201" s="24" t="n"/>
      <c r="F201" s="27">
        <f>IF(E201="","",IFERROR(INDEX(Lists!$H$4:$H$40,MATCH(E201,Lists!$F$4:$F$40,0)),"UNMAPPED"))</f>
        <v/>
      </c>
      <c r="G201" s="25" t="n"/>
      <c r="H201" s="25" t="n"/>
      <c r="I201" s="25" t="n"/>
      <c r="J201" s="25" t="n"/>
      <c r="K201" s="25" t="n"/>
      <c r="L201" s="29" t="n"/>
      <c r="M201" s="25" t="n"/>
      <c r="N201" s="30" t="n"/>
      <c r="O201" s="31">
        <f>IF(N201="","",IF(G201="Revenue",ROUND(N201*VATRate,2),0))</f>
        <v/>
      </c>
      <c r="P201" s="31">
        <f>IF(N201="","",N201+O201)</f>
        <v/>
      </c>
    </row>
    <row r="202">
      <c r="A202" s="26" t="n"/>
      <c r="B202" s="27">
        <f>IF(A202="","",IF(OR(A202&lt;MIN(Lists!$C$4:$C$15),A202&gt;MAX(Lists!$D$4:$D$15)),"No period",INDEX(Lists!$B$4:$B$15,MATCH(A202,Lists!$C$4:$C$15,1))))</f>
        <v/>
      </c>
      <c r="C202" s="28">
        <f>IF(B202="","",IFERROR(INDEX(Lists!$A$4:$A$15,MATCH(B202,Lists!$B$4:$B$15,0)),0))</f>
        <v/>
      </c>
      <c r="D202" s="25" t="n"/>
      <c r="E202" s="24" t="n"/>
      <c r="F202" s="27">
        <f>IF(E202="","",IFERROR(INDEX(Lists!$H$4:$H$40,MATCH(E202,Lists!$F$4:$F$40,0)),"UNMAPPED"))</f>
        <v/>
      </c>
      <c r="G202" s="25" t="n"/>
      <c r="H202" s="25" t="n"/>
      <c r="I202" s="25" t="n"/>
      <c r="J202" s="25" t="n"/>
      <c r="K202" s="25" t="n"/>
      <c r="L202" s="29" t="n"/>
      <c r="M202" s="25" t="n"/>
      <c r="N202" s="30" t="n"/>
      <c r="O202" s="31">
        <f>IF(N202="","",IF(G202="Revenue",ROUND(N202*VATRate,2),0))</f>
        <v/>
      </c>
      <c r="P202" s="31">
        <f>IF(N202="","",N202+O202)</f>
        <v/>
      </c>
    </row>
    <row r="203">
      <c r="A203" s="26" t="n"/>
      <c r="B203" s="27">
        <f>IF(A203="","",IF(OR(A203&lt;MIN(Lists!$C$4:$C$15),A203&gt;MAX(Lists!$D$4:$D$15)),"No period",INDEX(Lists!$B$4:$B$15,MATCH(A203,Lists!$C$4:$C$15,1))))</f>
        <v/>
      </c>
      <c r="C203" s="28">
        <f>IF(B203="","",IFERROR(INDEX(Lists!$A$4:$A$15,MATCH(B203,Lists!$B$4:$B$15,0)),0))</f>
        <v/>
      </c>
      <c r="D203" s="25" t="n"/>
      <c r="E203" s="24" t="n"/>
      <c r="F203" s="27">
        <f>IF(E203="","",IFERROR(INDEX(Lists!$H$4:$H$40,MATCH(E203,Lists!$F$4:$F$40,0)),"UNMAPPED"))</f>
        <v/>
      </c>
      <c r="G203" s="25" t="n"/>
      <c r="H203" s="25" t="n"/>
      <c r="I203" s="25" t="n"/>
      <c r="J203" s="25" t="n"/>
      <c r="K203" s="25" t="n"/>
      <c r="L203" s="29" t="n"/>
      <c r="M203" s="25" t="n"/>
      <c r="N203" s="30" t="n"/>
      <c r="O203" s="31">
        <f>IF(N203="","",IF(G203="Revenue",ROUND(N203*VATRate,2),0))</f>
        <v/>
      </c>
      <c r="P203" s="31">
        <f>IF(N203="","",N203+O203)</f>
        <v/>
      </c>
    </row>
    <row r="204">
      <c r="A204" s="26" t="n"/>
      <c r="B204" s="27">
        <f>IF(A204="","",IF(OR(A204&lt;MIN(Lists!$C$4:$C$15),A204&gt;MAX(Lists!$D$4:$D$15)),"No period",INDEX(Lists!$B$4:$B$15,MATCH(A204,Lists!$C$4:$C$15,1))))</f>
        <v/>
      </c>
      <c r="C204" s="28">
        <f>IF(B204="","",IFERROR(INDEX(Lists!$A$4:$A$15,MATCH(B204,Lists!$B$4:$B$15,0)),0))</f>
        <v/>
      </c>
      <c r="D204" s="25" t="n"/>
      <c r="E204" s="24" t="n"/>
      <c r="F204" s="27">
        <f>IF(E204="","",IFERROR(INDEX(Lists!$H$4:$H$40,MATCH(E204,Lists!$F$4:$F$40,0)),"UNMAPPED"))</f>
        <v/>
      </c>
      <c r="G204" s="25" t="n"/>
      <c r="H204" s="25" t="n"/>
      <c r="I204" s="25" t="n"/>
      <c r="J204" s="25" t="n"/>
      <c r="K204" s="25" t="n"/>
      <c r="L204" s="29" t="n"/>
      <c r="M204" s="25" t="n"/>
      <c r="N204" s="30" t="n"/>
      <c r="O204" s="31">
        <f>IF(N204="","",IF(G204="Revenue",ROUND(N204*VATRate,2),0))</f>
        <v/>
      </c>
      <c r="P204" s="31">
        <f>IF(N204="","",N204+O204)</f>
        <v/>
      </c>
    </row>
    <row r="205">
      <c r="A205" s="26" t="n"/>
      <c r="B205" s="27">
        <f>IF(A205="","",IF(OR(A205&lt;MIN(Lists!$C$4:$C$15),A205&gt;MAX(Lists!$D$4:$D$15)),"No period",INDEX(Lists!$B$4:$B$15,MATCH(A205,Lists!$C$4:$C$15,1))))</f>
        <v/>
      </c>
      <c r="C205" s="28">
        <f>IF(B205="","",IFERROR(INDEX(Lists!$A$4:$A$15,MATCH(B205,Lists!$B$4:$B$15,0)),0))</f>
        <v/>
      </c>
      <c r="D205" s="25" t="n"/>
      <c r="E205" s="24" t="n"/>
      <c r="F205" s="27">
        <f>IF(E205="","",IFERROR(INDEX(Lists!$H$4:$H$40,MATCH(E205,Lists!$F$4:$F$40,0)),"UNMAPPED"))</f>
        <v/>
      </c>
      <c r="G205" s="25" t="n"/>
      <c r="H205" s="25" t="n"/>
      <c r="I205" s="25" t="n"/>
      <c r="J205" s="25" t="n"/>
      <c r="K205" s="25" t="n"/>
      <c r="L205" s="29" t="n"/>
      <c r="M205" s="25" t="n"/>
      <c r="N205" s="30" t="n"/>
      <c r="O205" s="31">
        <f>IF(N205="","",IF(G205="Revenue",ROUND(N205*VATRate,2),0))</f>
        <v/>
      </c>
      <c r="P205" s="31">
        <f>IF(N205="","",N205+O205)</f>
        <v/>
      </c>
    </row>
    <row r="206">
      <c r="A206" s="26" t="n"/>
      <c r="B206" s="27">
        <f>IF(A206="","",IF(OR(A206&lt;MIN(Lists!$C$4:$C$15),A206&gt;MAX(Lists!$D$4:$D$15)),"No period",INDEX(Lists!$B$4:$B$15,MATCH(A206,Lists!$C$4:$C$15,1))))</f>
        <v/>
      </c>
      <c r="C206" s="28">
        <f>IF(B206="","",IFERROR(INDEX(Lists!$A$4:$A$15,MATCH(B206,Lists!$B$4:$B$15,0)),0))</f>
        <v/>
      </c>
      <c r="D206" s="25" t="n"/>
      <c r="E206" s="24" t="n"/>
      <c r="F206" s="27">
        <f>IF(E206="","",IFERROR(INDEX(Lists!$H$4:$H$40,MATCH(E206,Lists!$F$4:$F$40,0)),"UNMAPPED"))</f>
        <v/>
      </c>
      <c r="G206" s="25" t="n"/>
      <c r="H206" s="25" t="n"/>
      <c r="I206" s="25" t="n"/>
      <c r="J206" s="25" t="n"/>
      <c r="K206" s="25" t="n"/>
      <c r="L206" s="29" t="n"/>
      <c r="M206" s="25" t="n"/>
      <c r="N206" s="30" t="n"/>
      <c r="O206" s="31">
        <f>IF(N206="","",IF(G206="Revenue",ROUND(N206*VATRate,2),0))</f>
        <v/>
      </c>
      <c r="P206" s="31">
        <f>IF(N206="","",N206+O206)</f>
        <v/>
      </c>
    </row>
    <row r="207">
      <c r="A207" s="26" t="n"/>
      <c r="B207" s="27">
        <f>IF(A207="","",IF(OR(A207&lt;MIN(Lists!$C$4:$C$15),A207&gt;MAX(Lists!$D$4:$D$15)),"No period",INDEX(Lists!$B$4:$B$15,MATCH(A207,Lists!$C$4:$C$15,1))))</f>
        <v/>
      </c>
      <c r="C207" s="28">
        <f>IF(B207="","",IFERROR(INDEX(Lists!$A$4:$A$15,MATCH(B207,Lists!$B$4:$B$15,0)),0))</f>
        <v/>
      </c>
      <c r="D207" s="25" t="n"/>
      <c r="E207" s="24" t="n"/>
      <c r="F207" s="27">
        <f>IF(E207="","",IFERROR(INDEX(Lists!$H$4:$H$40,MATCH(E207,Lists!$F$4:$F$40,0)),"UNMAPPED"))</f>
        <v/>
      </c>
      <c r="G207" s="25" t="n"/>
      <c r="H207" s="25" t="n"/>
      <c r="I207" s="25" t="n"/>
      <c r="J207" s="25" t="n"/>
      <c r="K207" s="25" t="n"/>
      <c r="L207" s="29" t="n"/>
      <c r="M207" s="25" t="n"/>
      <c r="N207" s="30" t="n"/>
      <c r="O207" s="31">
        <f>IF(N207="","",IF(G207="Revenue",ROUND(N207*VATRate,2),0))</f>
        <v/>
      </c>
      <c r="P207" s="31">
        <f>IF(N207="","",N207+O207)</f>
        <v/>
      </c>
    </row>
    <row r="208">
      <c r="A208" s="26" t="n"/>
      <c r="B208" s="27">
        <f>IF(A208="","",IF(OR(A208&lt;MIN(Lists!$C$4:$C$15),A208&gt;MAX(Lists!$D$4:$D$15)),"No period",INDEX(Lists!$B$4:$B$15,MATCH(A208,Lists!$C$4:$C$15,1))))</f>
        <v/>
      </c>
      <c r="C208" s="28">
        <f>IF(B208="","",IFERROR(INDEX(Lists!$A$4:$A$15,MATCH(B208,Lists!$B$4:$B$15,0)),0))</f>
        <v/>
      </c>
      <c r="D208" s="25" t="n"/>
      <c r="E208" s="24" t="n"/>
      <c r="F208" s="27">
        <f>IF(E208="","",IFERROR(INDEX(Lists!$H$4:$H$40,MATCH(E208,Lists!$F$4:$F$40,0)),"UNMAPPED"))</f>
        <v/>
      </c>
      <c r="G208" s="25" t="n"/>
      <c r="H208" s="25" t="n"/>
      <c r="I208" s="25" t="n"/>
      <c r="J208" s="25" t="n"/>
      <c r="K208" s="25" t="n"/>
      <c r="L208" s="29" t="n"/>
      <c r="M208" s="25" t="n"/>
      <c r="N208" s="30" t="n"/>
      <c r="O208" s="31">
        <f>IF(N208="","",IF(G208="Revenue",ROUND(N208*VATRate,2),0))</f>
        <v/>
      </c>
      <c r="P208" s="31">
        <f>IF(N208="","",N208+O208)</f>
        <v/>
      </c>
    </row>
    <row r="209">
      <c r="A209" s="26" t="n"/>
      <c r="B209" s="27">
        <f>IF(A209="","",IF(OR(A209&lt;MIN(Lists!$C$4:$C$15),A209&gt;MAX(Lists!$D$4:$D$15)),"No period",INDEX(Lists!$B$4:$B$15,MATCH(A209,Lists!$C$4:$C$15,1))))</f>
        <v/>
      </c>
      <c r="C209" s="28">
        <f>IF(B209="","",IFERROR(INDEX(Lists!$A$4:$A$15,MATCH(B209,Lists!$B$4:$B$15,0)),0))</f>
        <v/>
      </c>
      <c r="D209" s="25" t="n"/>
      <c r="E209" s="24" t="n"/>
      <c r="F209" s="27">
        <f>IF(E209="","",IFERROR(INDEX(Lists!$H$4:$H$40,MATCH(E209,Lists!$F$4:$F$40,0)),"UNMAPPED"))</f>
        <v/>
      </c>
      <c r="G209" s="25" t="n"/>
      <c r="H209" s="25" t="n"/>
      <c r="I209" s="25" t="n"/>
      <c r="J209" s="25" t="n"/>
      <c r="K209" s="25" t="n"/>
      <c r="L209" s="29" t="n"/>
      <c r="M209" s="25" t="n"/>
      <c r="N209" s="30" t="n"/>
      <c r="O209" s="31">
        <f>IF(N209="","",IF(G209="Revenue",ROUND(N209*VATRate,2),0))</f>
        <v/>
      </c>
      <c r="P209" s="31">
        <f>IF(N209="","",N209+O209)</f>
        <v/>
      </c>
    </row>
    <row r="210">
      <c r="A210" s="26" t="n"/>
      <c r="B210" s="27">
        <f>IF(A210="","",IF(OR(A210&lt;MIN(Lists!$C$4:$C$15),A210&gt;MAX(Lists!$D$4:$D$15)),"No period",INDEX(Lists!$B$4:$B$15,MATCH(A210,Lists!$C$4:$C$15,1))))</f>
        <v/>
      </c>
      <c r="C210" s="28">
        <f>IF(B210="","",IFERROR(INDEX(Lists!$A$4:$A$15,MATCH(B210,Lists!$B$4:$B$15,0)),0))</f>
        <v/>
      </c>
      <c r="D210" s="25" t="n"/>
      <c r="E210" s="24" t="n"/>
      <c r="F210" s="27">
        <f>IF(E210="","",IFERROR(INDEX(Lists!$H$4:$H$40,MATCH(E210,Lists!$F$4:$F$40,0)),"UNMAPPED"))</f>
        <v/>
      </c>
      <c r="G210" s="25" t="n"/>
      <c r="H210" s="25" t="n"/>
      <c r="I210" s="25" t="n"/>
      <c r="J210" s="25" t="n"/>
      <c r="K210" s="25" t="n"/>
      <c r="L210" s="29" t="n"/>
      <c r="M210" s="25" t="n"/>
      <c r="N210" s="30" t="n"/>
      <c r="O210" s="31">
        <f>IF(N210="","",IF(G210="Revenue",ROUND(N210*VATRate,2),0))</f>
        <v/>
      </c>
      <c r="P210" s="31">
        <f>IF(N210="","",N210+O210)</f>
        <v/>
      </c>
    </row>
    <row r="211">
      <c r="A211" s="26" t="n"/>
      <c r="B211" s="27">
        <f>IF(A211="","",IF(OR(A211&lt;MIN(Lists!$C$4:$C$15),A211&gt;MAX(Lists!$D$4:$D$15)),"No period",INDEX(Lists!$B$4:$B$15,MATCH(A211,Lists!$C$4:$C$15,1))))</f>
        <v/>
      </c>
      <c r="C211" s="28">
        <f>IF(B211="","",IFERROR(INDEX(Lists!$A$4:$A$15,MATCH(B211,Lists!$B$4:$B$15,0)),0))</f>
        <v/>
      </c>
      <c r="D211" s="25" t="n"/>
      <c r="E211" s="24" t="n"/>
      <c r="F211" s="27">
        <f>IF(E211="","",IFERROR(INDEX(Lists!$H$4:$H$40,MATCH(E211,Lists!$F$4:$F$40,0)),"UNMAPPED"))</f>
        <v/>
      </c>
      <c r="G211" s="25" t="n"/>
      <c r="H211" s="25" t="n"/>
      <c r="I211" s="25" t="n"/>
      <c r="J211" s="25" t="n"/>
      <c r="K211" s="25" t="n"/>
      <c r="L211" s="29" t="n"/>
      <c r="M211" s="25" t="n"/>
      <c r="N211" s="30" t="n"/>
      <c r="O211" s="31">
        <f>IF(N211="","",IF(G211="Revenue",ROUND(N211*VATRate,2),0))</f>
        <v/>
      </c>
      <c r="P211" s="31">
        <f>IF(N211="","",N211+O211)</f>
        <v/>
      </c>
    </row>
    <row r="212">
      <c r="A212" s="26" t="n"/>
      <c r="B212" s="27">
        <f>IF(A212="","",IF(OR(A212&lt;MIN(Lists!$C$4:$C$15),A212&gt;MAX(Lists!$D$4:$D$15)),"No period",INDEX(Lists!$B$4:$B$15,MATCH(A212,Lists!$C$4:$C$15,1))))</f>
        <v/>
      </c>
      <c r="C212" s="28">
        <f>IF(B212="","",IFERROR(INDEX(Lists!$A$4:$A$15,MATCH(B212,Lists!$B$4:$B$15,0)),0))</f>
        <v/>
      </c>
      <c r="D212" s="25" t="n"/>
      <c r="E212" s="24" t="n"/>
      <c r="F212" s="27">
        <f>IF(E212="","",IFERROR(INDEX(Lists!$H$4:$H$40,MATCH(E212,Lists!$F$4:$F$40,0)),"UNMAPPED"))</f>
        <v/>
      </c>
      <c r="G212" s="25" t="n"/>
      <c r="H212" s="25" t="n"/>
      <c r="I212" s="25" t="n"/>
      <c r="J212" s="25" t="n"/>
      <c r="K212" s="25" t="n"/>
      <c r="L212" s="29" t="n"/>
      <c r="M212" s="25" t="n"/>
      <c r="N212" s="30" t="n"/>
      <c r="O212" s="31">
        <f>IF(N212="","",IF(G212="Revenue",ROUND(N212*VATRate,2),0))</f>
        <v/>
      </c>
      <c r="P212" s="31">
        <f>IF(N212="","",N212+O212)</f>
        <v/>
      </c>
    </row>
    <row r="213">
      <c r="A213" s="26" t="n"/>
      <c r="B213" s="27">
        <f>IF(A213="","",IF(OR(A213&lt;MIN(Lists!$C$4:$C$15),A213&gt;MAX(Lists!$D$4:$D$15)),"No period",INDEX(Lists!$B$4:$B$15,MATCH(A213,Lists!$C$4:$C$15,1))))</f>
        <v/>
      </c>
      <c r="C213" s="28">
        <f>IF(B213="","",IFERROR(INDEX(Lists!$A$4:$A$15,MATCH(B213,Lists!$B$4:$B$15,0)),0))</f>
        <v/>
      </c>
      <c r="D213" s="25" t="n"/>
      <c r="E213" s="24" t="n"/>
      <c r="F213" s="27">
        <f>IF(E213="","",IFERROR(INDEX(Lists!$H$4:$H$40,MATCH(E213,Lists!$F$4:$F$40,0)),"UNMAPPED"))</f>
        <v/>
      </c>
      <c r="G213" s="25" t="n"/>
      <c r="H213" s="25" t="n"/>
      <c r="I213" s="25" t="n"/>
      <c r="J213" s="25" t="n"/>
      <c r="K213" s="25" t="n"/>
      <c r="L213" s="29" t="n"/>
      <c r="M213" s="25" t="n"/>
      <c r="N213" s="30" t="n"/>
      <c r="O213" s="31">
        <f>IF(N213="","",IF(G213="Revenue",ROUND(N213*VATRate,2),0))</f>
        <v/>
      </c>
      <c r="P213" s="31">
        <f>IF(N213="","",N213+O213)</f>
        <v/>
      </c>
    </row>
    <row r="214">
      <c r="A214" s="26" t="n"/>
      <c r="B214" s="27">
        <f>IF(A214="","",IF(OR(A214&lt;MIN(Lists!$C$4:$C$15),A214&gt;MAX(Lists!$D$4:$D$15)),"No period",INDEX(Lists!$B$4:$B$15,MATCH(A214,Lists!$C$4:$C$15,1))))</f>
        <v/>
      </c>
      <c r="C214" s="28">
        <f>IF(B214="","",IFERROR(INDEX(Lists!$A$4:$A$15,MATCH(B214,Lists!$B$4:$B$15,0)),0))</f>
        <v/>
      </c>
      <c r="D214" s="25" t="n"/>
      <c r="E214" s="24" t="n"/>
      <c r="F214" s="27">
        <f>IF(E214="","",IFERROR(INDEX(Lists!$H$4:$H$40,MATCH(E214,Lists!$F$4:$F$40,0)),"UNMAPPED"))</f>
        <v/>
      </c>
      <c r="G214" s="25" t="n"/>
      <c r="H214" s="25" t="n"/>
      <c r="I214" s="25" t="n"/>
      <c r="J214" s="25" t="n"/>
      <c r="K214" s="25" t="n"/>
      <c r="L214" s="29" t="n"/>
      <c r="M214" s="25" t="n"/>
      <c r="N214" s="30" t="n"/>
      <c r="O214" s="31">
        <f>IF(N214="","",IF(G214="Revenue",ROUND(N214*VATRate,2),0))</f>
        <v/>
      </c>
      <c r="P214" s="31">
        <f>IF(N214="","",N214+O214)</f>
        <v/>
      </c>
    </row>
    <row r="215">
      <c r="A215" s="26" t="n"/>
      <c r="B215" s="27">
        <f>IF(A215="","",IF(OR(A215&lt;MIN(Lists!$C$4:$C$15),A215&gt;MAX(Lists!$D$4:$D$15)),"No period",INDEX(Lists!$B$4:$B$15,MATCH(A215,Lists!$C$4:$C$15,1))))</f>
        <v/>
      </c>
      <c r="C215" s="28">
        <f>IF(B215="","",IFERROR(INDEX(Lists!$A$4:$A$15,MATCH(B215,Lists!$B$4:$B$15,0)),0))</f>
        <v/>
      </c>
      <c r="D215" s="25" t="n"/>
      <c r="E215" s="24" t="n"/>
      <c r="F215" s="27">
        <f>IF(E215="","",IFERROR(INDEX(Lists!$H$4:$H$40,MATCH(E215,Lists!$F$4:$F$40,0)),"UNMAPPED"))</f>
        <v/>
      </c>
      <c r="G215" s="25" t="n"/>
      <c r="H215" s="25" t="n"/>
      <c r="I215" s="25" t="n"/>
      <c r="J215" s="25" t="n"/>
      <c r="K215" s="25" t="n"/>
      <c r="L215" s="29" t="n"/>
      <c r="M215" s="25" t="n"/>
      <c r="N215" s="30" t="n"/>
      <c r="O215" s="31">
        <f>IF(N215="","",IF(G215="Revenue",ROUND(N215*VATRate,2),0))</f>
        <v/>
      </c>
      <c r="P215" s="31">
        <f>IF(N215="","",N215+O215)</f>
        <v/>
      </c>
    </row>
    <row r="216">
      <c r="A216" s="26" t="n"/>
      <c r="B216" s="27">
        <f>IF(A216="","",IF(OR(A216&lt;MIN(Lists!$C$4:$C$15),A216&gt;MAX(Lists!$D$4:$D$15)),"No period",INDEX(Lists!$B$4:$B$15,MATCH(A216,Lists!$C$4:$C$15,1))))</f>
        <v/>
      </c>
      <c r="C216" s="28">
        <f>IF(B216="","",IFERROR(INDEX(Lists!$A$4:$A$15,MATCH(B216,Lists!$B$4:$B$15,0)),0))</f>
        <v/>
      </c>
      <c r="D216" s="25" t="n"/>
      <c r="E216" s="24" t="n"/>
      <c r="F216" s="27">
        <f>IF(E216="","",IFERROR(INDEX(Lists!$H$4:$H$40,MATCH(E216,Lists!$F$4:$F$40,0)),"UNMAPPED"))</f>
        <v/>
      </c>
      <c r="G216" s="25" t="n"/>
      <c r="H216" s="25" t="n"/>
      <c r="I216" s="25" t="n"/>
      <c r="J216" s="25" t="n"/>
      <c r="K216" s="25" t="n"/>
      <c r="L216" s="29" t="n"/>
      <c r="M216" s="25" t="n"/>
      <c r="N216" s="30" t="n"/>
      <c r="O216" s="31">
        <f>IF(N216="","",IF(G216="Revenue",ROUND(N216*VATRate,2),0))</f>
        <v/>
      </c>
      <c r="P216" s="31">
        <f>IF(N216="","",N216+O216)</f>
        <v/>
      </c>
    </row>
    <row r="217">
      <c r="A217" s="26" t="n"/>
      <c r="B217" s="27">
        <f>IF(A217="","",IF(OR(A217&lt;MIN(Lists!$C$4:$C$15),A217&gt;MAX(Lists!$D$4:$D$15)),"No period",INDEX(Lists!$B$4:$B$15,MATCH(A217,Lists!$C$4:$C$15,1))))</f>
        <v/>
      </c>
      <c r="C217" s="28">
        <f>IF(B217="","",IFERROR(INDEX(Lists!$A$4:$A$15,MATCH(B217,Lists!$B$4:$B$15,0)),0))</f>
        <v/>
      </c>
      <c r="D217" s="25" t="n"/>
      <c r="E217" s="24" t="n"/>
      <c r="F217" s="27">
        <f>IF(E217="","",IFERROR(INDEX(Lists!$H$4:$H$40,MATCH(E217,Lists!$F$4:$F$40,0)),"UNMAPPED"))</f>
        <v/>
      </c>
      <c r="G217" s="25" t="n"/>
      <c r="H217" s="25" t="n"/>
      <c r="I217" s="25" t="n"/>
      <c r="J217" s="25" t="n"/>
      <c r="K217" s="25" t="n"/>
      <c r="L217" s="29" t="n"/>
      <c r="M217" s="25" t="n"/>
      <c r="N217" s="30" t="n"/>
      <c r="O217" s="31">
        <f>IF(N217="","",IF(G217="Revenue",ROUND(N217*VATRate,2),0))</f>
        <v/>
      </c>
      <c r="P217" s="31">
        <f>IF(N217="","",N217+O217)</f>
        <v/>
      </c>
    </row>
    <row r="218">
      <c r="A218" s="26" t="n"/>
      <c r="B218" s="27">
        <f>IF(A218="","",IF(OR(A218&lt;MIN(Lists!$C$4:$C$15),A218&gt;MAX(Lists!$D$4:$D$15)),"No period",INDEX(Lists!$B$4:$B$15,MATCH(A218,Lists!$C$4:$C$15,1))))</f>
        <v/>
      </c>
      <c r="C218" s="28">
        <f>IF(B218="","",IFERROR(INDEX(Lists!$A$4:$A$15,MATCH(B218,Lists!$B$4:$B$15,0)),0))</f>
        <v/>
      </c>
      <c r="D218" s="25" t="n"/>
      <c r="E218" s="24" t="n"/>
      <c r="F218" s="27">
        <f>IF(E218="","",IFERROR(INDEX(Lists!$H$4:$H$40,MATCH(E218,Lists!$F$4:$F$40,0)),"UNMAPPED"))</f>
        <v/>
      </c>
      <c r="G218" s="25" t="n"/>
      <c r="H218" s="25" t="n"/>
      <c r="I218" s="25" t="n"/>
      <c r="J218" s="25" t="n"/>
      <c r="K218" s="25" t="n"/>
      <c r="L218" s="29" t="n"/>
      <c r="M218" s="25" t="n"/>
      <c r="N218" s="30" t="n"/>
      <c r="O218" s="31">
        <f>IF(N218="","",IF(G218="Revenue",ROUND(N218*VATRate,2),0))</f>
        <v/>
      </c>
      <c r="P218" s="31">
        <f>IF(N218="","",N218+O218)</f>
        <v/>
      </c>
    </row>
    <row r="219">
      <c r="A219" s="26" t="n"/>
      <c r="B219" s="27">
        <f>IF(A219="","",IF(OR(A219&lt;MIN(Lists!$C$4:$C$15),A219&gt;MAX(Lists!$D$4:$D$15)),"No period",INDEX(Lists!$B$4:$B$15,MATCH(A219,Lists!$C$4:$C$15,1))))</f>
        <v/>
      </c>
      <c r="C219" s="28">
        <f>IF(B219="","",IFERROR(INDEX(Lists!$A$4:$A$15,MATCH(B219,Lists!$B$4:$B$15,0)),0))</f>
        <v/>
      </c>
      <c r="D219" s="25" t="n"/>
      <c r="E219" s="24" t="n"/>
      <c r="F219" s="27">
        <f>IF(E219="","",IFERROR(INDEX(Lists!$H$4:$H$40,MATCH(E219,Lists!$F$4:$F$40,0)),"UNMAPPED"))</f>
        <v/>
      </c>
      <c r="G219" s="25" t="n"/>
      <c r="H219" s="25" t="n"/>
      <c r="I219" s="25" t="n"/>
      <c r="J219" s="25" t="n"/>
      <c r="K219" s="25" t="n"/>
      <c r="L219" s="29" t="n"/>
      <c r="M219" s="25" t="n"/>
      <c r="N219" s="30" t="n"/>
      <c r="O219" s="31">
        <f>IF(N219="","",IF(G219="Revenue",ROUND(N219*VATRate,2),0))</f>
        <v/>
      </c>
      <c r="P219" s="31">
        <f>IF(N219="","",N219+O219)</f>
        <v/>
      </c>
    </row>
    <row r="220">
      <c r="A220" s="26" t="n"/>
      <c r="B220" s="27">
        <f>IF(A220="","",IF(OR(A220&lt;MIN(Lists!$C$4:$C$15),A220&gt;MAX(Lists!$D$4:$D$15)),"No period",INDEX(Lists!$B$4:$B$15,MATCH(A220,Lists!$C$4:$C$15,1))))</f>
        <v/>
      </c>
      <c r="C220" s="28">
        <f>IF(B220="","",IFERROR(INDEX(Lists!$A$4:$A$15,MATCH(B220,Lists!$B$4:$B$15,0)),0))</f>
        <v/>
      </c>
      <c r="D220" s="25" t="n"/>
      <c r="E220" s="24" t="n"/>
      <c r="F220" s="27">
        <f>IF(E220="","",IFERROR(INDEX(Lists!$H$4:$H$40,MATCH(E220,Lists!$F$4:$F$40,0)),"UNMAPPED"))</f>
        <v/>
      </c>
      <c r="G220" s="25" t="n"/>
      <c r="H220" s="25" t="n"/>
      <c r="I220" s="25" t="n"/>
      <c r="J220" s="25" t="n"/>
      <c r="K220" s="25" t="n"/>
      <c r="L220" s="29" t="n"/>
      <c r="M220" s="25" t="n"/>
      <c r="N220" s="30" t="n"/>
      <c r="O220" s="31">
        <f>IF(N220="","",IF(G220="Revenue",ROUND(N220*VATRate,2),0))</f>
        <v/>
      </c>
      <c r="P220" s="31">
        <f>IF(N220="","",N220+O220)</f>
        <v/>
      </c>
    </row>
    <row r="221">
      <c r="A221" s="26" t="n"/>
      <c r="B221" s="27">
        <f>IF(A221="","",IF(OR(A221&lt;MIN(Lists!$C$4:$C$15),A221&gt;MAX(Lists!$D$4:$D$15)),"No period",INDEX(Lists!$B$4:$B$15,MATCH(A221,Lists!$C$4:$C$15,1))))</f>
        <v/>
      </c>
      <c r="C221" s="28">
        <f>IF(B221="","",IFERROR(INDEX(Lists!$A$4:$A$15,MATCH(B221,Lists!$B$4:$B$15,0)),0))</f>
        <v/>
      </c>
      <c r="D221" s="25" t="n"/>
      <c r="E221" s="24" t="n"/>
      <c r="F221" s="27">
        <f>IF(E221="","",IFERROR(INDEX(Lists!$H$4:$H$40,MATCH(E221,Lists!$F$4:$F$40,0)),"UNMAPPED"))</f>
        <v/>
      </c>
      <c r="G221" s="25" t="n"/>
      <c r="H221" s="25" t="n"/>
      <c r="I221" s="25" t="n"/>
      <c r="J221" s="25" t="n"/>
      <c r="K221" s="25" t="n"/>
      <c r="L221" s="29" t="n"/>
      <c r="M221" s="25" t="n"/>
      <c r="N221" s="30" t="n"/>
      <c r="O221" s="31">
        <f>IF(N221="","",IF(G221="Revenue",ROUND(N221*VATRate,2),0))</f>
        <v/>
      </c>
      <c r="P221" s="31">
        <f>IF(N221="","",N221+O221)</f>
        <v/>
      </c>
    </row>
    <row r="222">
      <c r="A222" s="26" t="n"/>
      <c r="B222" s="27">
        <f>IF(A222="","",IF(OR(A222&lt;MIN(Lists!$C$4:$C$15),A222&gt;MAX(Lists!$D$4:$D$15)),"No period",INDEX(Lists!$B$4:$B$15,MATCH(A222,Lists!$C$4:$C$15,1))))</f>
        <v/>
      </c>
      <c r="C222" s="28">
        <f>IF(B222="","",IFERROR(INDEX(Lists!$A$4:$A$15,MATCH(B222,Lists!$B$4:$B$15,0)),0))</f>
        <v/>
      </c>
      <c r="D222" s="25" t="n"/>
      <c r="E222" s="24" t="n"/>
      <c r="F222" s="27">
        <f>IF(E222="","",IFERROR(INDEX(Lists!$H$4:$H$40,MATCH(E222,Lists!$F$4:$F$40,0)),"UNMAPPED"))</f>
        <v/>
      </c>
      <c r="G222" s="25" t="n"/>
      <c r="H222" s="25" t="n"/>
      <c r="I222" s="25" t="n"/>
      <c r="J222" s="25" t="n"/>
      <c r="K222" s="25" t="n"/>
      <c r="L222" s="29" t="n"/>
      <c r="M222" s="25" t="n"/>
      <c r="N222" s="30" t="n"/>
      <c r="O222" s="31">
        <f>IF(N222="","",IF(G222="Revenue",ROUND(N222*VATRate,2),0))</f>
        <v/>
      </c>
      <c r="P222" s="31">
        <f>IF(N222="","",N222+O222)</f>
        <v/>
      </c>
    </row>
    <row r="223">
      <c r="A223" s="26" t="n"/>
      <c r="B223" s="27">
        <f>IF(A223="","",IF(OR(A223&lt;MIN(Lists!$C$4:$C$15),A223&gt;MAX(Lists!$D$4:$D$15)),"No period",INDEX(Lists!$B$4:$B$15,MATCH(A223,Lists!$C$4:$C$15,1))))</f>
        <v/>
      </c>
      <c r="C223" s="28">
        <f>IF(B223="","",IFERROR(INDEX(Lists!$A$4:$A$15,MATCH(B223,Lists!$B$4:$B$15,0)),0))</f>
        <v/>
      </c>
      <c r="D223" s="25" t="n"/>
      <c r="E223" s="24" t="n"/>
      <c r="F223" s="27">
        <f>IF(E223="","",IFERROR(INDEX(Lists!$H$4:$H$40,MATCH(E223,Lists!$F$4:$F$40,0)),"UNMAPPED"))</f>
        <v/>
      </c>
      <c r="G223" s="25" t="n"/>
      <c r="H223" s="25" t="n"/>
      <c r="I223" s="25" t="n"/>
      <c r="J223" s="25" t="n"/>
      <c r="K223" s="25" t="n"/>
      <c r="L223" s="29" t="n"/>
      <c r="M223" s="25" t="n"/>
      <c r="N223" s="30" t="n"/>
      <c r="O223" s="31">
        <f>IF(N223="","",IF(G223="Revenue",ROUND(N223*VATRate,2),0))</f>
        <v/>
      </c>
      <c r="P223" s="31">
        <f>IF(N223="","",N223+O223)</f>
        <v/>
      </c>
    </row>
    <row r="224">
      <c r="A224" s="26" t="n"/>
      <c r="B224" s="27">
        <f>IF(A224="","",IF(OR(A224&lt;MIN(Lists!$C$4:$C$15),A224&gt;MAX(Lists!$D$4:$D$15)),"No period",INDEX(Lists!$B$4:$B$15,MATCH(A224,Lists!$C$4:$C$15,1))))</f>
        <v/>
      </c>
      <c r="C224" s="28">
        <f>IF(B224="","",IFERROR(INDEX(Lists!$A$4:$A$15,MATCH(B224,Lists!$B$4:$B$15,0)),0))</f>
        <v/>
      </c>
      <c r="D224" s="25" t="n"/>
      <c r="E224" s="24" t="n"/>
      <c r="F224" s="27">
        <f>IF(E224="","",IFERROR(INDEX(Lists!$H$4:$H$40,MATCH(E224,Lists!$F$4:$F$40,0)),"UNMAPPED"))</f>
        <v/>
      </c>
      <c r="G224" s="25" t="n"/>
      <c r="H224" s="25" t="n"/>
      <c r="I224" s="25" t="n"/>
      <c r="J224" s="25" t="n"/>
      <c r="K224" s="25" t="n"/>
      <c r="L224" s="29" t="n"/>
      <c r="M224" s="25" t="n"/>
      <c r="N224" s="30" t="n"/>
      <c r="O224" s="31">
        <f>IF(N224="","",IF(G224="Revenue",ROUND(N224*VATRate,2),0))</f>
        <v/>
      </c>
      <c r="P224" s="31">
        <f>IF(N224="","",N224+O224)</f>
        <v/>
      </c>
    </row>
    <row r="225">
      <c r="A225" s="26" t="n"/>
      <c r="B225" s="27">
        <f>IF(A225="","",IF(OR(A225&lt;MIN(Lists!$C$4:$C$15),A225&gt;MAX(Lists!$D$4:$D$15)),"No period",INDEX(Lists!$B$4:$B$15,MATCH(A225,Lists!$C$4:$C$15,1))))</f>
        <v/>
      </c>
      <c r="C225" s="28">
        <f>IF(B225="","",IFERROR(INDEX(Lists!$A$4:$A$15,MATCH(B225,Lists!$B$4:$B$15,0)),0))</f>
        <v/>
      </c>
      <c r="D225" s="25" t="n"/>
      <c r="E225" s="24" t="n"/>
      <c r="F225" s="27">
        <f>IF(E225="","",IFERROR(INDEX(Lists!$H$4:$H$40,MATCH(E225,Lists!$F$4:$F$40,0)),"UNMAPPED"))</f>
        <v/>
      </c>
      <c r="G225" s="25" t="n"/>
      <c r="H225" s="25" t="n"/>
      <c r="I225" s="25" t="n"/>
      <c r="J225" s="25" t="n"/>
      <c r="K225" s="25" t="n"/>
      <c r="L225" s="29" t="n"/>
      <c r="M225" s="25" t="n"/>
      <c r="N225" s="30" t="n"/>
      <c r="O225" s="31">
        <f>IF(N225="","",IF(G225="Revenue",ROUND(N225*VATRate,2),0))</f>
        <v/>
      </c>
      <c r="P225" s="31">
        <f>IF(N225="","",N225+O225)</f>
        <v/>
      </c>
    </row>
    <row r="226">
      <c r="A226" s="26" t="n"/>
      <c r="B226" s="27">
        <f>IF(A226="","",IF(OR(A226&lt;MIN(Lists!$C$4:$C$15),A226&gt;MAX(Lists!$D$4:$D$15)),"No period",INDEX(Lists!$B$4:$B$15,MATCH(A226,Lists!$C$4:$C$15,1))))</f>
        <v/>
      </c>
      <c r="C226" s="28">
        <f>IF(B226="","",IFERROR(INDEX(Lists!$A$4:$A$15,MATCH(B226,Lists!$B$4:$B$15,0)),0))</f>
        <v/>
      </c>
      <c r="D226" s="25" t="n"/>
      <c r="E226" s="24" t="n"/>
      <c r="F226" s="27">
        <f>IF(E226="","",IFERROR(INDEX(Lists!$H$4:$H$40,MATCH(E226,Lists!$F$4:$F$40,0)),"UNMAPPED"))</f>
        <v/>
      </c>
      <c r="G226" s="25" t="n"/>
      <c r="H226" s="25" t="n"/>
      <c r="I226" s="25" t="n"/>
      <c r="J226" s="25" t="n"/>
      <c r="K226" s="25" t="n"/>
      <c r="L226" s="29" t="n"/>
      <c r="M226" s="25" t="n"/>
      <c r="N226" s="30" t="n"/>
      <c r="O226" s="31">
        <f>IF(N226="","",IF(G226="Revenue",ROUND(N226*VATRate,2),0))</f>
        <v/>
      </c>
      <c r="P226" s="31">
        <f>IF(N226="","",N226+O226)</f>
        <v/>
      </c>
    </row>
    <row r="227">
      <c r="A227" s="26" t="n"/>
      <c r="B227" s="27">
        <f>IF(A227="","",IF(OR(A227&lt;MIN(Lists!$C$4:$C$15),A227&gt;MAX(Lists!$D$4:$D$15)),"No period",INDEX(Lists!$B$4:$B$15,MATCH(A227,Lists!$C$4:$C$15,1))))</f>
        <v/>
      </c>
      <c r="C227" s="28">
        <f>IF(B227="","",IFERROR(INDEX(Lists!$A$4:$A$15,MATCH(B227,Lists!$B$4:$B$15,0)),0))</f>
        <v/>
      </c>
      <c r="D227" s="25" t="n"/>
      <c r="E227" s="24" t="n"/>
      <c r="F227" s="27">
        <f>IF(E227="","",IFERROR(INDEX(Lists!$H$4:$H$40,MATCH(E227,Lists!$F$4:$F$40,0)),"UNMAPPED"))</f>
        <v/>
      </c>
      <c r="G227" s="25" t="n"/>
      <c r="H227" s="25" t="n"/>
      <c r="I227" s="25" t="n"/>
      <c r="J227" s="25" t="n"/>
      <c r="K227" s="25" t="n"/>
      <c r="L227" s="29" t="n"/>
      <c r="M227" s="25" t="n"/>
      <c r="N227" s="30" t="n"/>
      <c r="O227" s="31">
        <f>IF(N227="","",IF(G227="Revenue",ROUND(N227*VATRate,2),0))</f>
        <v/>
      </c>
      <c r="P227" s="31">
        <f>IF(N227="","",N227+O227)</f>
        <v/>
      </c>
    </row>
    <row r="228">
      <c r="A228" s="26" t="n"/>
      <c r="B228" s="27">
        <f>IF(A228="","",IF(OR(A228&lt;MIN(Lists!$C$4:$C$15),A228&gt;MAX(Lists!$D$4:$D$15)),"No period",INDEX(Lists!$B$4:$B$15,MATCH(A228,Lists!$C$4:$C$15,1))))</f>
        <v/>
      </c>
      <c r="C228" s="28">
        <f>IF(B228="","",IFERROR(INDEX(Lists!$A$4:$A$15,MATCH(B228,Lists!$B$4:$B$15,0)),0))</f>
        <v/>
      </c>
      <c r="D228" s="25" t="n"/>
      <c r="E228" s="24" t="n"/>
      <c r="F228" s="27">
        <f>IF(E228="","",IFERROR(INDEX(Lists!$H$4:$H$40,MATCH(E228,Lists!$F$4:$F$40,0)),"UNMAPPED"))</f>
        <v/>
      </c>
      <c r="G228" s="25" t="n"/>
      <c r="H228" s="25" t="n"/>
      <c r="I228" s="25" t="n"/>
      <c r="J228" s="25" t="n"/>
      <c r="K228" s="25" t="n"/>
      <c r="L228" s="29" t="n"/>
      <c r="M228" s="25" t="n"/>
      <c r="N228" s="30" t="n"/>
      <c r="O228" s="31">
        <f>IF(N228="","",IF(G228="Revenue",ROUND(N228*VATRate,2),0))</f>
        <v/>
      </c>
      <c r="P228" s="31">
        <f>IF(N228="","",N228+O228)</f>
        <v/>
      </c>
    </row>
    <row r="229">
      <c r="A229" s="26" t="n"/>
      <c r="B229" s="27">
        <f>IF(A229="","",IF(OR(A229&lt;MIN(Lists!$C$4:$C$15),A229&gt;MAX(Lists!$D$4:$D$15)),"No period",INDEX(Lists!$B$4:$B$15,MATCH(A229,Lists!$C$4:$C$15,1))))</f>
        <v/>
      </c>
      <c r="C229" s="28">
        <f>IF(B229="","",IFERROR(INDEX(Lists!$A$4:$A$15,MATCH(B229,Lists!$B$4:$B$15,0)),0))</f>
        <v/>
      </c>
      <c r="D229" s="25" t="n"/>
      <c r="E229" s="24" t="n"/>
      <c r="F229" s="27">
        <f>IF(E229="","",IFERROR(INDEX(Lists!$H$4:$H$40,MATCH(E229,Lists!$F$4:$F$40,0)),"UNMAPPED"))</f>
        <v/>
      </c>
      <c r="G229" s="25" t="n"/>
      <c r="H229" s="25" t="n"/>
      <c r="I229" s="25" t="n"/>
      <c r="J229" s="25" t="n"/>
      <c r="K229" s="25" t="n"/>
      <c r="L229" s="29" t="n"/>
      <c r="M229" s="25" t="n"/>
      <c r="N229" s="30" t="n"/>
      <c r="O229" s="31">
        <f>IF(N229="","",IF(G229="Revenue",ROUND(N229*VATRate,2),0))</f>
        <v/>
      </c>
      <c r="P229" s="31">
        <f>IF(N229="","",N229+O229)</f>
        <v/>
      </c>
    </row>
    <row r="230">
      <c r="A230" s="26" t="n"/>
      <c r="B230" s="27">
        <f>IF(A230="","",IF(OR(A230&lt;MIN(Lists!$C$4:$C$15),A230&gt;MAX(Lists!$D$4:$D$15)),"No period",INDEX(Lists!$B$4:$B$15,MATCH(A230,Lists!$C$4:$C$15,1))))</f>
        <v/>
      </c>
      <c r="C230" s="28">
        <f>IF(B230="","",IFERROR(INDEX(Lists!$A$4:$A$15,MATCH(B230,Lists!$B$4:$B$15,0)),0))</f>
        <v/>
      </c>
      <c r="D230" s="25" t="n"/>
      <c r="E230" s="24" t="n"/>
      <c r="F230" s="27">
        <f>IF(E230="","",IFERROR(INDEX(Lists!$H$4:$H$40,MATCH(E230,Lists!$F$4:$F$40,0)),"UNMAPPED"))</f>
        <v/>
      </c>
      <c r="G230" s="25" t="n"/>
      <c r="H230" s="25" t="n"/>
      <c r="I230" s="25" t="n"/>
      <c r="J230" s="25" t="n"/>
      <c r="K230" s="25" t="n"/>
      <c r="L230" s="29" t="n"/>
      <c r="M230" s="25" t="n"/>
      <c r="N230" s="30" t="n"/>
      <c r="O230" s="31">
        <f>IF(N230="","",IF(G230="Revenue",ROUND(N230*VATRate,2),0))</f>
        <v/>
      </c>
      <c r="P230" s="31">
        <f>IF(N230="","",N230+O230)</f>
        <v/>
      </c>
    </row>
    <row r="231">
      <c r="A231" s="26" t="n"/>
      <c r="B231" s="27">
        <f>IF(A231="","",IF(OR(A231&lt;MIN(Lists!$C$4:$C$15),A231&gt;MAX(Lists!$D$4:$D$15)),"No period",INDEX(Lists!$B$4:$B$15,MATCH(A231,Lists!$C$4:$C$15,1))))</f>
        <v/>
      </c>
      <c r="C231" s="28">
        <f>IF(B231="","",IFERROR(INDEX(Lists!$A$4:$A$15,MATCH(B231,Lists!$B$4:$B$15,0)),0))</f>
        <v/>
      </c>
      <c r="D231" s="25" t="n"/>
      <c r="E231" s="24" t="n"/>
      <c r="F231" s="27">
        <f>IF(E231="","",IFERROR(INDEX(Lists!$H$4:$H$40,MATCH(E231,Lists!$F$4:$F$40,0)),"UNMAPPED"))</f>
        <v/>
      </c>
      <c r="G231" s="25" t="n"/>
      <c r="H231" s="25" t="n"/>
      <c r="I231" s="25" t="n"/>
      <c r="J231" s="25" t="n"/>
      <c r="K231" s="25" t="n"/>
      <c r="L231" s="29" t="n"/>
      <c r="M231" s="25" t="n"/>
      <c r="N231" s="30" t="n"/>
      <c r="O231" s="31">
        <f>IF(N231="","",IF(G231="Revenue",ROUND(N231*VATRate,2),0))</f>
        <v/>
      </c>
      <c r="P231" s="31">
        <f>IF(N231="","",N231+O231)</f>
        <v/>
      </c>
    </row>
    <row r="232">
      <c r="A232" s="26" t="n"/>
      <c r="B232" s="27">
        <f>IF(A232="","",IF(OR(A232&lt;MIN(Lists!$C$4:$C$15),A232&gt;MAX(Lists!$D$4:$D$15)),"No period",INDEX(Lists!$B$4:$B$15,MATCH(A232,Lists!$C$4:$C$15,1))))</f>
        <v/>
      </c>
      <c r="C232" s="28">
        <f>IF(B232="","",IFERROR(INDEX(Lists!$A$4:$A$15,MATCH(B232,Lists!$B$4:$B$15,0)),0))</f>
        <v/>
      </c>
      <c r="D232" s="25" t="n"/>
      <c r="E232" s="24" t="n"/>
      <c r="F232" s="27">
        <f>IF(E232="","",IFERROR(INDEX(Lists!$H$4:$H$40,MATCH(E232,Lists!$F$4:$F$40,0)),"UNMAPPED"))</f>
        <v/>
      </c>
      <c r="G232" s="25" t="n"/>
      <c r="H232" s="25" t="n"/>
      <c r="I232" s="25" t="n"/>
      <c r="J232" s="25" t="n"/>
      <c r="K232" s="25" t="n"/>
      <c r="L232" s="29" t="n"/>
      <c r="M232" s="25" t="n"/>
      <c r="N232" s="30" t="n"/>
      <c r="O232" s="31">
        <f>IF(N232="","",IF(G232="Revenue",ROUND(N232*VATRate,2),0))</f>
        <v/>
      </c>
      <c r="P232" s="31">
        <f>IF(N232="","",N232+O232)</f>
        <v/>
      </c>
    </row>
    <row r="233">
      <c r="A233" s="26" t="n"/>
      <c r="B233" s="27">
        <f>IF(A233="","",IF(OR(A233&lt;MIN(Lists!$C$4:$C$15),A233&gt;MAX(Lists!$D$4:$D$15)),"No period",INDEX(Lists!$B$4:$B$15,MATCH(A233,Lists!$C$4:$C$15,1))))</f>
        <v/>
      </c>
      <c r="C233" s="28">
        <f>IF(B233="","",IFERROR(INDEX(Lists!$A$4:$A$15,MATCH(B233,Lists!$B$4:$B$15,0)),0))</f>
        <v/>
      </c>
      <c r="D233" s="25" t="n"/>
      <c r="E233" s="24" t="n"/>
      <c r="F233" s="27">
        <f>IF(E233="","",IFERROR(INDEX(Lists!$H$4:$H$40,MATCH(E233,Lists!$F$4:$F$40,0)),"UNMAPPED"))</f>
        <v/>
      </c>
      <c r="G233" s="25" t="n"/>
      <c r="H233" s="25" t="n"/>
      <c r="I233" s="25" t="n"/>
      <c r="J233" s="25" t="n"/>
      <c r="K233" s="25" t="n"/>
      <c r="L233" s="29" t="n"/>
      <c r="M233" s="25" t="n"/>
      <c r="N233" s="30" t="n"/>
      <c r="O233" s="31">
        <f>IF(N233="","",IF(G233="Revenue",ROUND(N233*VATRate,2),0))</f>
        <v/>
      </c>
      <c r="P233" s="31">
        <f>IF(N233="","",N233+O233)</f>
        <v/>
      </c>
    </row>
    <row r="234">
      <c r="A234" s="26" t="n"/>
      <c r="B234" s="27">
        <f>IF(A234="","",IF(OR(A234&lt;MIN(Lists!$C$4:$C$15),A234&gt;MAX(Lists!$D$4:$D$15)),"No period",INDEX(Lists!$B$4:$B$15,MATCH(A234,Lists!$C$4:$C$15,1))))</f>
        <v/>
      </c>
      <c r="C234" s="28">
        <f>IF(B234="","",IFERROR(INDEX(Lists!$A$4:$A$15,MATCH(B234,Lists!$B$4:$B$15,0)),0))</f>
        <v/>
      </c>
      <c r="D234" s="25" t="n"/>
      <c r="E234" s="24" t="n"/>
      <c r="F234" s="27">
        <f>IF(E234="","",IFERROR(INDEX(Lists!$H$4:$H$40,MATCH(E234,Lists!$F$4:$F$40,0)),"UNMAPPED"))</f>
        <v/>
      </c>
      <c r="G234" s="25" t="n"/>
      <c r="H234" s="25" t="n"/>
      <c r="I234" s="25" t="n"/>
      <c r="J234" s="25" t="n"/>
      <c r="K234" s="25" t="n"/>
      <c r="L234" s="29" t="n"/>
      <c r="M234" s="25" t="n"/>
      <c r="N234" s="30" t="n"/>
      <c r="O234" s="31">
        <f>IF(N234="","",IF(G234="Revenue",ROUND(N234*VATRate,2),0))</f>
        <v/>
      </c>
      <c r="P234" s="31">
        <f>IF(N234="","",N234+O234)</f>
        <v/>
      </c>
    </row>
    <row r="235">
      <c r="A235" s="26" t="n"/>
      <c r="B235" s="27">
        <f>IF(A235="","",IF(OR(A235&lt;MIN(Lists!$C$4:$C$15),A235&gt;MAX(Lists!$D$4:$D$15)),"No period",INDEX(Lists!$B$4:$B$15,MATCH(A235,Lists!$C$4:$C$15,1))))</f>
        <v/>
      </c>
      <c r="C235" s="28">
        <f>IF(B235="","",IFERROR(INDEX(Lists!$A$4:$A$15,MATCH(B235,Lists!$B$4:$B$15,0)),0))</f>
        <v/>
      </c>
      <c r="D235" s="25" t="n"/>
      <c r="E235" s="24" t="n"/>
      <c r="F235" s="27">
        <f>IF(E235="","",IFERROR(INDEX(Lists!$H$4:$H$40,MATCH(E235,Lists!$F$4:$F$40,0)),"UNMAPPED"))</f>
        <v/>
      </c>
      <c r="G235" s="25" t="n"/>
      <c r="H235" s="25" t="n"/>
      <c r="I235" s="25" t="n"/>
      <c r="J235" s="25" t="n"/>
      <c r="K235" s="25" t="n"/>
      <c r="L235" s="29" t="n"/>
      <c r="M235" s="25" t="n"/>
      <c r="N235" s="30" t="n"/>
      <c r="O235" s="31">
        <f>IF(N235="","",IF(G235="Revenue",ROUND(N235*VATRate,2),0))</f>
        <v/>
      </c>
      <c r="P235" s="31">
        <f>IF(N235="","",N235+O235)</f>
        <v/>
      </c>
    </row>
    <row r="236">
      <c r="A236" s="26" t="n"/>
      <c r="B236" s="27">
        <f>IF(A236="","",IF(OR(A236&lt;MIN(Lists!$C$4:$C$15),A236&gt;MAX(Lists!$D$4:$D$15)),"No period",INDEX(Lists!$B$4:$B$15,MATCH(A236,Lists!$C$4:$C$15,1))))</f>
        <v/>
      </c>
      <c r="C236" s="28">
        <f>IF(B236="","",IFERROR(INDEX(Lists!$A$4:$A$15,MATCH(B236,Lists!$B$4:$B$15,0)),0))</f>
        <v/>
      </c>
      <c r="D236" s="25" t="n"/>
      <c r="E236" s="24" t="n"/>
      <c r="F236" s="27">
        <f>IF(E236="","",IFERROR(INDEX(Lists!$H$4:$H$40,MATCH(E236,Lists!$F$4:$F$40,0)),"UNMAPPED"))</f>
        <v/>
      </c>
      <c r="G236" s="25" t="n"/>
      <c r="H236" s="25" t="n"/>
      <c r="I236" s="25" t="n"/>
      <c r="J236" s="25" t="n"/>
      <c r="K236" s="25" t="n"/>
      <c r="L236" s="29" t="n"/>
      <c r="M236" s="25" t="n"/>
      <c r="N236" s="30" t="n"/>
      <c r="O236" s="31">
        <f>IF(N236="","",IF(G236="Revenue",ROUND(N236*VATRate,2),0))</f>
        <v/>
      </c>
      <c r="P236" s="31">
        <f>IF(N236="","",N236+O236)</f>
        <v/>
      </c>
    </row>
    <row r="237">
      <c r="A237" s="26" t="n"/>
      <c r="B237" s="27">
        <f>IF(A237="","",IF(OR(A237&lt;MIN(Lists!$C$4:$C$15),A237&gt;MAX(Lists!$D$4:$D$15)),"No period",INDEX(Lists!$B$4:$B$15,MATCH(A237,Lists!$C$4:$C$15,1))))</f>
        <v/>
      </c>
      <c r="C237" s="28">
        <f>IF(B237="","",IFERROR(INDEX(Lists!$A$4:$A$15,MATCH(B237,Lists!$B$4:$B$15,0)),0))</f>
        <v/>
      </c>
      <c r="D237" s="25" t="n"/>
      <c r="E237" s="24" t="n"/>
      <c r="F237" s="27">
        <f>IF(E237="","",IFERROR(INDEX(Lists!$H$4:$H$40,MATCH(E237,Lists!$F$4:$F$40,0)),"UNMAPPED"))</f>
        <v/>
      </c>
      <c r="G237" s="25" t="n"/>
      <c r="H237" s="25" t="n"/>
      <c r="I237" s="25" t="n"/>
      <c r="J237" s="25" t="n"/>
      <c r="K237" s="25" t="n"/>
      <c r="L237" s="29" t="n"/>
      <c r="M237" s="25" t="n"/>
      <c r="N237" s="30" t="n"/>
      <c r="O237" s="31">
        <f>IF(N237="","",IF(G237="Revenue",ROUND(N237*VATRate,2),0))</f>
        <v/>
      </c>
      <c r="P237" s="31">
        <f>IF(N237="","",N237+O237)</f>
        <v/>
      </c>
    </row>
    <row r="238">
      <c r="A238" s="26" t="n"/>
      <c r="B238" s="27">
        <f>IF(A238="","",IF(OR(A238&lt;MIN(Lists!$C$4:$C$15),A238&gt;MAX(Lists!$D$4:$D$15)),"No period",INDEX(Lists!$B$4:$B$15,MATCH(A238,Lists!$C$4:$C$15,1))))</f>
        <v/>
      </c>
      <c r="C238" s="28">
        <f>IF(B238="","",IFERROR(INDEX(Lists!$A$4:$A$15,MATCH(B238,Lists!$B$4:$B$15,0)),0))</f>
        <v/>
      </c>
      <c r="D238" s="25" t="n"/>
      <c r="E238" s="24" t="n"/>
      <c r="F238" s="27">
        <f>IF(E238="","",IFERROR(INDEX(Lists!$H$4:$H$40,MATCH(E238,Lists!$F$4:$F$40,0)),"UNMAPPED"))</f>
        <v/>
      </c>
      <c r="G238" s="25" t="n"/>
      <c r="H238" s="25" t="n"/>
      <c r="I238" s="25" t="n"/>
      <c r="J238" s="25" t="n"/>
      <c r="K238" s="25" t="n"/>
      <c r="L238" s="29" t="n"/>
      <c r="M238" s="25" t="n"/>
      <c r="N238" s="30" t="n"/>
      <c r="O238" s="31">
        <f>IF(N238="","",IF(G238="Revenue",ROUND(N238*VATRate,2),0))</f>
        <v/>
      </c>
      <c r="P238" s="31">
        <f>IF(N238="","",N238+O238)</f>
        <v/>
      </c>
    </row>
    <row r="239">
      <c r="A239" s="26" t="n"/>
      <c r="B239" s="27">
        <f>IF(A239="","",IF(OR(A239&lt;MIN(Lists!$C$4:$C$15),A239&gt;MAX(Lists!$D$4:$D$15)),"No period",INDEX(Lists!$B$4:$B$15,MATCH(A239,Lists!$C$4:$C$15,1))))</f>
        <v/>
      </c>
      <c r="C239" s="28">
        <f>IF(B239="","",IFERROR(INDEX(Lists!$A$4:$A$15,MATCH(B239,Lists!$B$4:$B$15,0)),0))</f>
        <v/>
      </c>
      <c r="D239" s="25" t="n"/>
      <c r="E239" s="24" t="n"/>
      <c r="F239" s="27">
        <f>IF(E239="","",IFERROR(INDEX(Lists!$H$4:$H$40,MATCH(E239,Lists!$F$4:$F$40,0)),"UNMAPPED"))</f>
        <v/>
      </c>
      <c r="G239" s="25" t="n"/>
      <c r="H239" s="25" t="n"/>
      <c r="I239" s="25" t="n"/>
      <c r="J239" s="25" t="n"/>
      <c r="K239" s="25" t="n"/>
      <c r="L239" s="29" t="n"/>
      <c r="M239" s="25" t="n"/>
      <c r="N239" s="30" t="n"/>
      <c r="O239" s="31">
        <f>IF(N239="","",IF(G239="Revenue",ROUND(N239*VATRate,2),0))</f>
        <v/>
      </c>
      <c r="P239" s="31">
        <f>IF(N239="","",N239+O239)</f>
        <v/>
      </c>
    </row>
    <row r="240">
      <c r="A240" s="26" t="n"/>
      <c r="B240" s="27">
        <f>IF(A240="","",IF(OR(A240&lt;MIN(Lists!$C$4:$C$15),A240&gt;MAX(Lists!$D$4:$D$15)),"No period",INDEX(Lists!$B$4:$B$15,MATCH(A240,Lists!$C$4:$C$15,1))))</f>
        <v/>
      </c>
      <c r="C240" s="28">
        <f>IF(B240="","",IFERROR(INDEX(Lists!$A$4:$A$15,MATCH(B240,Lists!$B$4:$B$15,0)),0))</f>
        <v/>
      </c>
      <c r="D240" s="25" t="n"/>
      <c r="E240" s="24" t="n"/>
      <c r="F240" s="27">
        <f>IF(E240="","",IFERROR(INDEX(Lists!$H$4:$H$40,MATCH(E240,Lists!$F$4:$F$40,0)),"UNMAPPED"))</f>
        <v/>
      </c>
      <c r="G240" s="25" t="n"/>
      <c r="H240" s="25" t="n"/>
      <c r="I240" s="25" t="n"/>
      <c r="J240" s="25" t="n"/>
      <c r="K240" s="25" t="n"/>
      <c r="L240" s="29" t="n"/>
      <c r="M240" s="25" t="n"/>
      <c r="N240" s="30" t="n"/>
      <c r="O240" s="31">
        <f>IF(N240="","",IF(G240="Revenue",ROUND(N240*VATRate,2),0))</f>
        <v/>
      </c>
      <c r="P240" s="31">
        <f>IF(N240="","",N240+O240)</f>
        <v/>
      </c>
    </row>
    <row r="241">
      <c r="A241" s="26" t="n"/>
      <c r="B241" s="27">
        <f>IF(A241="","",IF(OR(A241&lt;MIN(Lists!$C$4:$C$15),A241&gt;MAX(Lists!$D$4:$D$15)),"No period",INDEX(Lists!$B$4:$B$15,MATCH(A241,Lists!$C$4:$C$15,1))))</f>
        <v/>
      </c>
      <c r="C241" s="28">
        <f>IF(B241="","",IFERROR(INDEX(Lists!$A$4:$A$15,MATCH(B241,Lists!$B$4:$B$15,0)),0))</f>
        <v/>
      </c>
      <c r="D241" s="25" t="n"/>
      <c r="E241" s="24" t="n"/>
      <c r="F241" s="27">
        <f>IF(E241="","",IFERROR(INDEX(Lists!$H$4:$H$40,MATCH(E241,Lists!$F$4:$F$40,0)),"UNMAPPED"))</f>
        <v/>
      </c>
      <c r="G241" s="25" t="n"/>
      <c r="H241" s="25" t="n"/>
      <c r="I241" s="25" t="n"/>
      <c r="J241" s="25" t="n"/>
      <c r="K241" s="25" t="n"/>
      <c r="L241" s="29" t="n"/>
      <c r="M241" s="25" t="n"/>
      <c r="N241" s="30" t="n"/>
      <c r="O241" s="31">
        <f>IF(N241="","",IF(G241="Revenue",ROUND(N241*VATRate,2),0))</f>
        <v/>
      </c>
      <c r="P241" s="31">
        <f>IF(N241="","",N241+O241)</f>
        <v/>
      </c>
    </row>
    <row r="242">
      <c r="A242" s="26" t="n"/>
      <c r="B242" s="27">
        <f>IF(A242="","",IF(OR(A242&lt;MIN(Lists!$C$4:$C$15),A242&gt;MAX(Lists!$D$4:$D$15)),"No period",INDEX(Lists!$B$4:$B$15,MATCH(A242,Lists!$C$4:$C$15,1))))</f>
        <v/>
      </c>
      <c r="C242" s="28">
        <f>IF(B242="","",IFERROR(INDEX(Lists!$A$4:$A$15,MATCH(B242,Lists!$B$4:$B$15,0)),0))</f>
        <v/>
      </c>
      <c r="D242" s="25" t="n"/>
      <c r="E242" s="24" t="n"/>
      <c r="F242" s="27">
        <f>IF(E242="","",IFERROR(INDEX(Lists!$H$4:$H$40,MATCH(E242,Lists!$F$4:$F$40,0)),"UNMAPPED"))</f>
        <v/>
      </c>
      <c r="G242" s="25" t="n"/>
      <c r="H242" s="25" t="n"/>
      <c r="I242" s="25" t="n"/>
      <c r="J242" s="25" t="n"/>
      <c r="K242" s="25" t="n"/>
      <c r="L242" s="29" t="n"/>
      <c r="M242" s="25" t="n"/>
      <c r="N242" s="30" t="n"/>
      <c r="O242" s="31">
        <f>IF(N242="","",IF(G242="Revenue",ROUND(N242*VATRate,2),0))</f>
        <v/>
      </c>
      <c r="P242" s="31">
        <f>IF(N242="","",N242+O242)</f>
        <v/>
      </c>
    </row>
    <row r="243">
      <c r="A243" s="26" t="n"/>
      <c r="B243" s="27">
        <f>IF(A243="","",IF(OR(A243&lt;MIN(Lists!$C$4:$C$15),A243&gt;MAX(Lists!$D$4:$D$15)),"No period",INDEX(Lists!$B$4:$B$15,MATCH(A243,Lists!$C$4:$C$15,1))))</f>
        <v/>
      </c>
      <c r="C243" s="28">
        <f>IF(B243="","",IFERROR(INDEX(Lists!$A$4:$A$15,MATCH(B243,Lists!$B$4:$B$15,0)),0))</f>
        <v/>
      </c>
      <c r="D243" s="25" t="n"/>
      <c r="E243" s="24" t="n"/>
      <c r="F243" s="27">
        <f>IF(E243="","",IFERROR(INDEX(Lists!$H$4:$H$40,MATCH(E243,Lists!$F$4:$F$40,0)),"UNMAPPED"))</f>
        <v/>
      </c>
      <c r="G243" s="25" t="n"/>
      <c r="H243" s="25" t="n"/>
      <c r="I243" s="25" t="n"/>
      <c r="J243" s="25" t="n"/>
      <c r="K243" s="25" t="n"/>
      <c r="L243" s="29" t="n"/>
      <c r="M243" s="25" t="n"/>
      <c r="N243" s="30" t="n"/>
      <c r="O243" s="31">
        <f>IF(N243="","",IF(G243="Revenue",ROUND(N243*VATRate,2),0))</f>
        <v/>
      </c>
      <c r="P243" s="31">
        <f>IF(N243="","",N243+O243)</f>
        <v/>
      </c>
    </row>
    <row r="244">
      <c r="A244" s="26" t="n"/>
      <c r="B244" s="27">
        <f>IF(A244="","",IF(OR(A244&lt;MIN(Lists!$C$4:$C$15),A244&gt;MAX(Lists!$D$4:$D$15)),"No period",INDEX(Lists!$B$4:$B$15,MATCH(A244,Lists!$C$4:$C$15,1))))</f>
        <v/>
      </c>
      <c r="C244" s="28">
        <f>IF(B244="","",IFERROR(INDEX(Lists!$A$4:$A$15,MATCH(B244,Lists!$B$4:$B$15,0)),0))</f>
        <v/>
      </c>
      <c r="D244" s="25" t="n"/>
      <c r="E244" s="24" t="n"/>
      <c r="F244" s="27">
        <f>IF(E244="","",IFERROR(INDEX(Lists!$H$4:$H$40,MATCH(E244,Lists!$F$4:$F$40,0)),"UNMAPPED"))</f>
        <v/>
      </c>
      <c r="G244" s="25" t="n"/>
      <c r="H244" s="25" t="n"/>
      <c r="I244" s="25" t="n"/>
      <c r="J244" s="25" t="n"/>
      <c r="K244" s="25" t="n"/>
      <c r="L244" s="29" t="n"/>
      <c r="M244" s="25" t="n"/>
      <c r="N244" s="30" t="n"/>
      <c r="O244" s="31">
        <f>IF(N244="","",IF(G244="Revenue",ROUND(N244*VATRate,2),0))</f>
        <v/>
      </c>
      <c r="P244" s="31">
        <f>IF(N244="","",N244+O244)</f>
        <v/>
      </c>
    </row>
    <row r="245">
      <c r="A245" s="26" t="n"/>
      <c r="B245" s="27">
        <f>IF(A245="","",IF(OR(A245&lt;MIN(Lists!$C$4:$C$15),A245&gt;MAX(Lists!$D$4:$D$15)),"No period",INDEX(Lists!$B$4:$B$15,MATCH(A245,Lists!$C$4:$C$15,1))))</f>
        <v/>
      </c>
      <c r="C245" s="28">
        <f>IF(B245="","",IFERROR(INDEX(Lists!$A$4:$A$15,MATCH(B245,Lists!$B$4:$B$15,0)),0))</f>
        <v/>
      </c>
      <c r="D245" s="25" t="n"/>
      <c r="E245" s="24" t="n"/>
      <c r="F245" s="27">
        <f>IF(E245="","",IFERROR(INDEX(Lists!$H$4:$H$40,MATCH(E245,Lists!$F$4:$F$40,0)),"UNMAPPED"))</f>
        <v/>
      </c>
      <c r="G245" s="25" t="n"/>
      <c r="H245" s="25" t="n"/>
      <c r="I245" s="25" t="n"/>
      <c r="J245" s="25" t="n"/>
      <c r="K245" s="25" t="n"/>
      <c r="L245" s="29" t="n"/>
      <c r="M245" s="25" t="n"/>
      <c r="N245" s="30" t="n"/>
      <c r="O245" s="31">
        <f>IF(N245="","",IF(G245="Revenue",ROUND(N245*VATRate,2),0))</f>
        <v/>
      </c>
      <c r="P245" s="31">
        <f>IF(N245="","",N245+O245)</f>
        <v/>
      </c>
    </row>
    <row r="246">
      <c r="A246" s="26" t="n"/>
      <c r="B246" s="27">
        <f>IF(A246="","",IF(OR(A246&lt;MIN(Lists!$C$4:$C$15),A246&gt;MAX(Lists!$D$4:$D$15)),"No period",INDEX(Lists!$B$4:$B$15,MATCH(A246,Lists!$C$4:$C$15,1))))</f>
        <v/>
      </c>
      <c r="C246" s="28">
        <f>IF(B246="","",IFERROR(INDEX(Lists!$A$4:$A$15,MATCH(B246,Lists!$B$4:$B$15,0)),0))</f>
        <v/>
      </c>
      <c r="D246" s="25" t="n"/>
      <c r="E246" s="24" t="n"/>
      <c r="F246" s="27">
        <f>IF(E246="","",IFERROR(INDEX(Lists!$H$4:$H$40,MATCH(E246,Lists!$F$4:$F$40,0)),"UNMAPPED"))</f>
        <v/>
      </c>
      <c r="G246" s="25" t="n"/>
      <c r="H246" s="25" t="n"/>
      <c r="I246" s="25" t="n"/>
      <c r="J246" s="25" t="n"/>
      <c r="K246" s="25" t="n"/>
      <c r="L246" s="29" t="n"/>
      <c r="M246" s="25" t="n"/>
      <c r="N246" s="30" t="n"/>
      <c r="O246" s="31">
        <f>IF(N246="","",IF(G246="Revenue",ROUND(N246*VATRate,2),0))</f>
        <v/>
      </c>
      <c r="P246" s="31">
        <f>IF(N246="","",N246+O246)</f>
        <v/>
      </c>
    </row>
    <row r="247">
      <c r="A247" s="26" t="n"/>
      <c r="B247" s="27">
        <f>IF(A247="","",IF(OR(A247&lt;MIN(Lists!$C$4:$C$15),A247&gt;MAX(Lists!$D$4:$D$15)),"No period",INDEX(Lists!$B$4:$B$15,MATCH(A247,Lists!$C$4:$C$15,1))))</f>
        <v/>
      </c>
      <c r="C247" s="28">
        <f>IF(B247="","",IFERROR(INDEX(Lists!$A$4:$A$15,MATCH(B247,Lists!$B$4:$B$15,0)),0))</f>
        <v/>
      </c>
      <c r="D247" s="25" t="n"/>
      <c r="E247" s="24" t="n"/>
      <c r="F247" s="27">
        <f>IF(E247="","",IFERROR(INDEX(Lists!$H$4:$H$40,MATCH(E247,Lists!$F$4:$F$40,0)),"UNMAPPED"))</f>
        <v/>
      </c>
      <c r="G247" s="25" t="n"/>
      <c r="H247" s="25" t="n"/>
      <c r="I247" s="25" t="n"/>
      <c r="J247" s="25" t="n"/>
      <c r="K247" s="25" t="n"/>
      <c r="L247" s="29" t="n"/>
      <c r="M247" s="25" t="n"/>
      <c r="N247" s="30" t="n"/>
      <c r="O247" s="31">
        <f>IF(N247="","",IF(G247="Revenue",ROUND(N247*VATRate,2),0))</f>
        <v/>
      </c>
      <c r="P247" s="31">
        <f>IF(N247="","",N247+O247)</f>
        <v/>
      </c>
    </row>
    <row r="248">
      <c r="A248" s="26" t="n"/>
      <c r="B248" s="27">
        <f>IF(A248="","",IF(OR(A248&lt;MIN(Lists!$C$4:$C$15),A248&gt;MAX(Lists!$D$4:$D$15)),"No period",INDEX(Lists!$B$4:$B$15,MATCH(A248,Lists!$C$4:$C$15,1))))</f>
        <v/>
      </c>
      <c r="C248" s="28">
        <f>IF(B248="","",IFERROR(INDEX(Lists!$A$4:$A$15,MATCH(B248,Lists!$B$4:$B$15,0)),0))</f>
        <v/>
      </c>
      <c r="D248" s="25" t="n"/>
      <c r="E248" s="24" t="n"/>
      <c r="F248" s="27">
        <f>IF(E248="","",IFERROR(INDEX(Lists!$H$4:$H$40,MATCH(E248,Lists!$F$4:$F$40,0)),"UNMAPPED"))</f>
        <v/>
      </c>
      <c r="G248" s="25" t="n"/>
      <c r="H248" s="25" t="n"/>
      <c r="I248" s="25" t="n"/>
      <c r="J248" s="25" t="n"/>
      <c r="K248" s="25" t="n"/>
      <c r="L248" s="29" t="n"/>
      <c r="M248" s="25" t="n"/>
      <c r="N248" s="30" t="n"/>
      <c r="O248" s="31">
        <f>IF(N248="","",IF(G248="Revenue",ROUND(N248*VATRate,2),0))</f>
        <v/>
      </c>
      <c r="P248" s="31">
        <f>IF(N248="","",N248+O248)</f>
        <v/>
      </c>
    </row>
    <row r="249">
      <c r="A249" s="26" t="n"/>
      <c r="B249" s="27">
        <f>IF(A249="","",IF(OR(A249&lt;MIN(Lists!$C$4:$C$15),A249&gt;MAX(Lists!$D$4:$D$15)),"No period",INDEX(Lists!$B$4:$B$15,MATCH(A249,Lists!$C$4:$C$15,1))))</f>
        <v/>
      </c>
      <c r="C249" s="28">
        <f>IF(B249="","",IFERROR(INDEX(Lists!$A$4:$A$15,MATCH(B249,Lists!$B$4:$B$15,0)),0))</f>
        <v/>
      </c>
      <c r="D249" s="25" t="n"/>
      <c r="E249" s="24" t="n"/>
      <c r="F249" s="27">
        <f>IF(E249="","",IFERROR(INDEX(Lists!$H$4:$H$40,MATCH(E249,Lists!$F$4:$F$40,0)),"UNMAPPED"))</f>
        <v/>
      </c>
      <c r="G249" s="25" t="n"/>
      <c r="H249" s="25" t="n"/>
      <c r="I249" s="25" t="n"/>
      <c r="J249" s="25" t="n"/>
      <c r="K249" s="25" t="n"/>
      <c r="L249" s="29" t="n"/>
      <c r="M249" s="25" t="n"/>
      <c r="N249" s="30" t="n"/>
      <c r="O249" s="31">
        <f>IF(N249="","",IF(G249="Revenue",ROUND(N249*VATRate,2),0))</f>
        <v/>
      </c>
      <c r="P249" s="31">
        <f>IF(N249="","",N249+O249)</f>
        <v/>
      </c>
    </row>
    <row r="250">
      <c r="A250" s="26" t="n"/>
      <c r="B250" s="27">
        <f>IF(A250="","",IF(OR(A250&lt;MIN(Lists!$C$4:$C$15),A250&gt;MAX(Lists!$D$4:$D$15)),"No period",INDEX(Lists!$B$4:$B$15,MATCH(A250,Lists!$C$4:$C$15,1))))</f>
        <v/>
      </c>
      <c r="C250" s="28">
        <f>IF(B250="","",IFERROR(INDEX(Lists!$A$4:$A$15,MATCH(B250,Lists!$B$4:$B$15,0)),0))</f>
        <v/>
      </c>
      <c r="D250" s="25" t="n"/>
      <c r="E250" s="24" t="n"/>
      <c r="F250" s="27">
        <f>IF(E250="","",IFERROR(INDEX(Lists!$H$4:$H$40,MATCH(E250,Lists!$F$4:$F$40,0)),"UNMAPPED"))</f>
        <v/>
      </c>
      <c r="G250" s="25" t="n"/>
      <c r="H250" s="25" t="n"/>
      <c r="I250" s="25" t="n"/>
      <c r="J250" s="25" t="n"/>
      <c r="K250" s="25" t="n"/>
      <c r="L250" s="29" t="n"/>
      <c r="M250" s="25" t="n"/>
      <c r="N250" s="30" t="n"/>
      <c r="O250" s="31">
        <f>IF(N250="","",IF(G250="Revenue",ROUND(N250*VATRate,2),0))</f>
        <v/>
      </c>
      <c r="P250" s="31">
        <f>IF(N250="","",N250+O250)</f>
        <v/>
      </c>
    </row>
    <row r="251">
      <c r="A251" s="26" t="n"/>
      <c r="B251" s="27">
        <f>IF(A251="","",IF(OR(A251&lt;MIN(Lists!$C$4:$C$15),A251&gt;MAX(Lists!$D$4:$D$15)),"No period",INDEX(Lists!$B$4:$B$15,MATCH(A251,Lists!$C$4:$C$15,1))))</f>
        <v/>
      </c>
      <c r="C251" s="28">
        <f>IF(B251="","",IFERROR(INDEX(Lists!$A$4:$A$15,MATCH(B251,Lists!$B$4:$B$15,0)),0))</f>
        <v/>
      </c>
      <c r="D251" s="25" t="n"/>
      <c r="E251" s="24" t="n"/>
      <c r="F251" s="27">
        <f>IF(E251="","",IFERROR(INDEX(Lists!$H$4:$H$40,MATCH(E251,Lists!$F$4:$F$40,0)),"UNMAPPED"))</f>
        <v/>
      </c>
      <c r="G251" s="25" t="n"/>
      <c r="H251" s="25" t="n"/>
      <c r="I251" s="25" t="n"/>
      <c r="J251" s="25" t="n"/>
      <c r="K251" s="25" t="n"/>
      <c r="L251" s="29" t="n"/>
      <c r="M251" s="25" t="n"/>
      <c r="N251" s="30" t="n"/>
      <c r="O251" s="31">
        <f>IF(N251="","",IF(G251="Revenue",ROUND(N251*VATRate,2),0))</f>
        <v/>
      </c>
      <c r="P251" s="31">
        <f>IF(N251="","",N251+O251)</f>
        <v/>
      </c>
    </row>
    <row r="252">
      <c r="A252" s="26" t="n"/>
      <c r="B252" s="27">
        <f>IF(A252="","",IF(OR(A252&lt;MIN(Lists!$C$4:$C$15),A252&gt;MAX(Lists!$D$4:$D$15)),"No period",INDEX(Lists!$B$4:$B$15,MATCH(A252,Lists!$C$4:$C$15,1))))</f>
        <v/>
      </c>
      <c r="C252" s="28">
        <f>IF(B252="","",IFERROR(INDEX(Lists!$A$4:$A$15,MATCH(B252,Lists!$B$4:$B$15,0)),0))</f>
        <v/>
      </c>
      <c r="D252" s="25" t="n"/>
      <c r="E252" s="24" t="n"/>
      <c r="F252" s="27">
        <f>IF(E252="","",IFERROR(INDEX(Lists!$H$4:$H$40,MATCH(E252,Lists!$F$4:$F$40,0)),"UNMAPPED"))</f>
        <v/>
      </c>
      <c r="G252" s="25" t="n"/>
      <c r="H252" s="25" t="n"/>
      <c r="I252" s="25" t="n"/>
      <c r="J252" s="25" t="n"/>
      <c r="K252" s="25" t="n"/>
      <c r="L252" s="29" t="n"/>
      <c r="M252" s="25" t="n"/>
      <c r="N252" s="30" t="n"/>
      <c r="O252" s="31">
        <f>IF(N252="","",IF(G252="Revenue",ROUND(N252*VATRate,2),0))</f>
        <v/>
      </c>
      <c r="P252" s="31">
        <f>IF(N252="","",N252+O252)</f>
        <v/>
      </c>
    </row>
    <row r="253">
      <c r="A253" s="26" t="n"/>
      <c r="B253" s="27">
        <f>IF(A253="","",IF(OR(A253&lt;MIN(Lists!$C$4:$C$15),A253&gt;MAX(Lists!$D$4:$D$15)),"No period",INDEX(Lists!$B$4:$B$15,MATCH(A253,Lists!$C$4:$C$15,1))))</f>
        <v/>
      </c>
      <c r="C253" s="28">
        <f>IF(B253="","",IFERROR(INDEX(Lists!$A$4:$A$15,MATCH(B253,Lists!$B$4:$B$15,0)),0))</f>
        <v/>
      </c>
      <c r="D253" s="25" t="n"/>
      <c r="E253" s="24" t="n"/>
      <c r="F253" s="27">
        <f>IF(E253="","",IFERROR(INDEX(Lists!$H$4:$H$40,MATCH(E253,Lists!$F$4:$F$40,0)),"UNMAPPED"))</f>
        <v/>
      </c>
      <c r="G253" s="25" t="n"/>
      <c r="H253" s="25" t="n"/>
      <c r="I253" s="25" t="n"/>
      <c r="J253" s="25" t="n"/>
      <c r="K253" s="25" t="n"/>
      <c r="L253" s="29" t="n"/>
      <c r="M253" s="25" t="n"/>
      <c r="N253" s="30" t="n"/>
      <c r="O253" s="31">
        <f>IF(N253="","",IF(G253="Revenue",ROUND(N253*VATRate,2),0))</f>
        <v/>
      </c>
      <c r="P253" s="31">
        <f>IF(N253="","",N253+O253)</f>
        <v/>
      </c>
    </row>
    <row r="254">
      <c r="A254" s="26" t="n"/>
      <c r="B254" s="27">
        <f>IF(A254="","",IF(OR(A254&lt;MIN(Lists!$C$4:$C$15),A254&gt;MAX(Lists!$D$4:$D$15)),"No period",INDEX(Lists!$B$4:$B$15,MATCH(A254,Lists!$C$4:$C$15,1))))</f>
        <v/>
      </c>
      <c r="C254" s="28">
        <f>IF(B254="","",IFERROR(INDEX(Lists!$A$4:$A$15,MATCH(B254,Lists!$B$4:$B$15,0)),0))</f>
        <v/>
      </c>
      <c r="D254" s="25" t="n"/>
      <c r="E254" s="24" t="n"/>
      <c r="F254" s="27">
        <f>IF(E254="","",IFERROR(INDEX(Lists!$H$4:$H$40,MATCH(E254,Lists!$F$4:$F$40,0)),"UNMAPPED"))</f>
        <v/>
      </c>
      <c r="G254" s="25" t="n"/>
      <c r="H254" s="25" t="n"/>
      <c r="I254" s="25" t="n"/>
      <c r="J254" s="25" t="n"/>
      <c r="K254" s="25" t="n"/>
      <c r="L254" s="29" t="n"/>
      <c r="M254" s="25" t="n"/>
      <c r="N254" s="30" t="n"/>
      <c r="O254" s="31">
        <f>IF(N254="","",IF(G254="Revenue",ROUND(N254*VATRate,2),0))</f>
        <v/>
      </c>
      <c r="P254" s="31">
        <f>IF(N254="","",N254+O254)</f>
        <v/>
      </c>
    </row>
    <row r="255">
      <c r="A255" s="26" t="n"/>
      <c r="B255" s="27">
        <f>IF(A255="","",IF(OR(A255&lt;MIN(Lists!$C$4:$C$15),A255&gt;MAX(Lists!$D$4:$D$15)),"No period",INDEX(Lists!$B$4:$B$15,MATCH(A255,Lists!$C$4:$C$15,1))))</f>
        <v/>
      </c>
      <c r="C255" s="28">
        <f>IF(B255="","",IFERROR(INDEX(Lists!$A$4:$A$15,MATCH(B255,Lists!$B$4:$B$15,0)),0))</f>
        <v/>
      </c>
      <c r="D255" s="25" t="n"/>
      <c r="E255" s="24" t="n"/>
      <c r="F255" s="27">
        <f>IF(E255="","",IFERROR(INDEX(Lists!$H$4:$H$40,MATCH(E255,Lists!$F$4:$F$40,0)),"UNMAPPED"))</f>
        <v/>
      </c>
      <c r="G255" s="25" t="n"/>
      <c r="H255" s="25" t="n"/>
      <c r="I255" s="25" t="n"/>
      <c r="J255" s="25" t="n"/>
      <c r="K255" s="25" t="n"/>
      <c r="L255" s="29" t="n"/>
      <c r="M255" s="25" t="n"/>
      <c r="N255" s="30" t="n"/>
      <c r="O255" s="31">
        <f>IF(N255="","",IF(G255="Revenue",ROUND(N255*VATRate,2),0))</f>
        <v/>
      </c>
      <c r="P255" s="31">
        <f>IF(N255="","",N255+O255)</f>
        <v/>
      </c>
    </row>
    <row r="256">
      <c r="A256" s="26" t="n"/>
      <c r="B256" s="27">
        <f>IF(A256="","",IF(OR(A256&lt;MIN(Lists!$C$4:$C$15),A256&gt;MAX(Lists!$D$4:$D$15)),"No period",INDEX(Lists!$B$4:$B$15,MATCH(A256,Lists!$C$4:$C$15,1))))</f>
        <v/>
      </c>
      <c r="C256" s="28">
        <f>IF(B256="","",IFERROR(INDEX(Lists!$A$4:$A$15,MATCH(B256,Lists!$B$4:$B$15,0)),0))</f>
        <v/>
      </c>
      <c r="D256" s="25" t="n"/>
      <c r="E256" s="24" t="n"/>
      <c r="F256" s="27">
        <f>IF(E256="","",IFERROR(INDEX(Lists!$H$4:$H$40,MATCH(E256,Lists!$F$4:$F$40,0)),"UNMAPPED"))</f>
        <v/>
      </c>
      <c r="G256" s="25" t="n"/>
      <c r="H256" s="25" t="n"/>
      <c r="I256" s="25" t="n"/>
      <c r="J256" s="25" t="n"/>
      <c r="K256" s="25" t="n"/>
      <c r="L256" s="29" t="n"/>
      <c r="M256" s="25" t="n"/>
      <c r="N256" s="30" t="n"/>
      <c r="O256" s="31">
        <f>IF(N256="","",IF(G256="Revenue",ROUND(N256*VATRate,2),0))</f>
        <v/>
      </c>
      <c r="P256" s="31">
        <f>IF(N256="","",N256+O256)</f>
        <v/>
      </c>
    </row>
    <row r="257">
      <c r="A257" s="26" t="n"/>
      <c r="B257" s="27">
        <f>IF(A257="","",IF(OR(A257&lt;MIN(Lists!$C$4:$C$15),A257&gt;MAX(Lists!$D$4:$D$15)),"No period",INDEX(Lists!$B$4:$B$15,MATCH(A257,Lists!$C$4:$C$15,1))))</f>
        <v/>
      </c>
      <c r="C257" s="28">
        <f>IF(B257="","",IFERROR(INDEX(Lists!$A$4:$A$15,MATCH(B257,Lists!$B$4:$B$15,0)),0))</f>
        <v/>
      </c>
      <c r="D257" s="25" t="n"/>
      <c r="E257" s="24" t="n"/>
      <c r="F257" s="27">
        <f>IF(E257="","",IFERROR(INDEX(Lists!$H$4:$H$40,MATCH(E257,Lists!$F$4:$F$40,0)),"UNMAPPED"))</f>
        <v/>
      </c>
      <c r="G257" s="25" t="n"/>
      <c r="H257" s="25" t="n"/>
      <c r="I257" s="25" t="n"/>
      <c r="J257" s="25" t="n"/>
      <c r="K257" s="25" t="n"/>
      <c r="L257" s="29" t="n"/>
      <c r="M257" s="25" t="n"/>
      <c r="N257" s="30" t="n"/>
      <c r="O257" s="31">
        <f>IF(N257="","",IF(G257="Revenue",ROUND(N257*VATRate,2),0))</f>
        <v/>
      </c>
      <c r="P257" s="31">
        <f>IF(N257="","",N257+O257)</f>
        <v/>
      </c>
    </row>
    <row r="258">
      <c r="A258" s="26" t="n"/>
      <c r="B258" s="27">
        <f>IF(A258="","",IF(OR(A258&lt;MIN(Lists!$C$4:$C$15),A258&gt;MAX(Lists!$D$4:$D$15)),"No period",INDEX(Lists!$B$4:$B$15,MATCH(A258,Lists!$C$4:$C$15,1))))</f>
        <v/>
      </c>
      <c r="C258" s="28">
        <f>IF(B258="","",IFERROR(INDEX(Lists!$A$4:$A$15,MATCH(B258,Lists!$B$4:$B$15,0)),0))</f>
        <v/>
      </c>
      <c r="D258" s="25" t="n"/>
      <c r="E258" s="24" t="n"/>
      <c r="F258" s="27">
        <f>IF(E258="","",IFERROR(INDEX(Lists!$H$4:$H$40,MATCH(E258,Lists!$F$4:$F$40,0)),"UNMAPPED"))</f>
        <v/>
      </c>
      <c r="G258" s="25" t="n"/>
      <c r="H258" s="25" t="n"/>
      <c r="I258" s="25" t="n"/>
      <c r="J258" s="25" t="n"/>
      <c r="K258" s="25" t="n"/>
      <c r="L258" s="29" t="n"/>
      <c r="M258" s="25" t="n"/>
      <c r="N258" s="30" t="n"/>
      <c r="O258" s="31">
        <f>IF(N258="","",IF(G258="Revenue",ROUND(N258*VATRate,2),0))</f>
        <v/>
      </c>
      <c r="P258" s="31">
        <f>IF(N258="","",N258+O258)</f>
        <v/>
      </c>
    </row>
    <row r="259">
      <c r="A259" s="26" t="n"/>
      <c r="B259" s="27">
        <f>IF(A259="","",IF(OR(A259&lt;MIN(Lists!$C$4:$C$15),A259&gt;MAX(Lists!$D$4:$D$15)),"No period",INDEX(Lists!$B$4:$B$15,MATCH(A259,Lists!$C$4:$C$15,1))))</f>
        <v/>
      </c>
      <c r="C259" s="28">
        <f>IF(B259="","",IFERROR(INDEX(Lists!$A$4:$A$15,MATCH(B259,Lists!$B$4:$B$15,0)),0))</f>
        <v/>
      </c>
      <c r="D259" s="25" t="n"/>
      <c r="E259" s="24" t="n"/>
      <c r="F259" s="27">
        <f>IF(E259="","",IFERROR(INDEX(Lists!$H$4:$H$40,MATCH(E259,Lists!$F$4:$F$40,0)),"UNMAPPED"))</f>
        <v/>
      </c>
      <c r="G259" s="25" t="n"/>
      <c r="H259" s="25" t="n"/>
      <c r="I259" s="25" t="n"/>
      <c r="J259" s="25" t="n"/>
      <c r="K259" s="25" t="n"/>
      <c r="L259" s="29" t="n"/>
      <c r="M259" s="25" t="n"/>
      <c r="N259" s="30" t="n"/>
      <c r="O259" s="31">
        <f>IF(N259="","",IF(G259="Revenue",ROUND(N259*VATRate,2),0))</f>
        <v/>
      </c>
      <c r="P259" s="31">
        <f>IF(N259="","",N259+O259)</f>
        <v/>
      </c>
    </row>
    <row r="260">
      <c r="A260" s="26" t="n"/>
      <c r="B260" s="27">
        <f>IF(A260="","",IF(OR(A260&lt;MIN(Lists!$C$4:$C$15),A260&gt;MAX(Lists!$D$4:$D$15)),"No period",INDEX(Lists!$B$4:$B$15,MATCH(A260,Lists!$C$4:$C$15,1))))</f>
        <v/>
      </c>
      <c r="C260" s="28">
        <f>IF(B260="","",IFERROR(INDEX(Lists!$A$4:$A$15,MATCH(B260,Lists!$B$4:$B$15,0)),0))</f>
        <v/>
      </c>
      <c r="D260" s="25" t="n"/>
      <c r="E260" s="24" t="n"/>
      <c r="F260" s="27">
        <f>IF(E260="","",IFERROR(INDEX(Lists!$H$4:$H$40,MATCH(E260,Lists!$F$4:$F$40,0)),"UNMAPPED"))</f>
        <v/>
      </c>
      <c r="G260" s="25" t="n"/>
      <c r="H260" s="25" t="n"/>
      <c r="I260" s="25" t="n"/>
      <c r="J260" s="25" t="n"/>
      <c r="K260" s="25" t="n"/>
      <c r="L260" s="29" t="n"/>
      <c r="M260" s="25" t="n"/>
      <c r="N260" s="30" t="n"/>
      <c r="O260" s="31">
        <f>IF(N260="","",IF(G260="Revenue",ROUND(N260*VATRate,2),0))</f>
        <v/>
      </c>
      <c r="P260" s="31">
        <f>IF(N260="","",N260+O260)</f>
        <v/>
      </c>
    </row>
    <row r="261">
      <c r="A261" s="26" t="n"/>
      <c r="B261" s="27">
        <f>IF(A261="","",IF(OR(A261&lt;MIN(Lists!$C$4:$C$15),A261&gt;MAX(Lists!$D$4:$D$15)),"No period",INDEX(Lists!$B$4:$B$15,MATCH(A261,Lists!$C$4:$C$15,1))))</f>
        <v/>
      </c>
      <c r="C261" s="28">
        <f>IF(B261="","",IFERROR(INDEX(Lists!$A$4:$A$15,MATCH(B261,Lists!$B$4:$B$15,0)),0))</f>
        <v/>
      </c>
      <c r="D261" s="25" t="n"/>
      <c r="E261" s="24" t="n"/>
      <c r="F261" s="27">
        <f>IF(E261="","",IFERROR(INDEX(Lists!$H$4:$H$40,MATCH(E261,Lists!$F$4:$F$40,0)),"UNMAPPED"))</f>
        <v/>
      </c>
      <c r="G261" s="25" t="n"/>
      <c r="H261" s="25" t="n"/>
      <c r="I261" s="25" t="n"/>
      <c r="J261" s="25" t="n"/>
      <c r="K261" s="25" t="n"/>
      <c r="L261" s="29" t="n"/>
      <c r="M261" s="25" t="n"/>
      <c r="N261" s="30" t="n"/>
      <c r="O261" s="31">
        <f>IF(N261="","",IF(G261="Revenue",ROUND(N261*VATRate,2),0))</f>
        <v/>
      </c>
      <c r="P261" s="31">
        <f>IF(N261="","",N261+O261)</f>
        <v/>
      </c>
    </row>
    <row r="262">
      <c r="A262" s="26" t="n"/>
      <c r="B262" s="27">
        <f>IF(A262="","",IF(OR(A262&lt;MIN(Lists!$C$4:$C$15),A262&gt;MAX(Lists!$D$4:$D$15)),"No period",INDEX(Lists!$B$4:$B$15,MATCH(A262,Lists!$C$4:$C$15,1))))</f>
        <v/>
      </c>
      <c r="C262" s="28">
        <f>IF(B262="","",IFERROR(INDEX(Lists!$A$4:$A$15,MATCH(B262,Lists!$B$4:$B$15,0)),0))</f>
        <v/>
      </c>
      <c r="D262" s="25" t="n"/>
      <c r="E262" s="24" t="n"/>
      <c r="F262" s="27">
        <f>IF(E262="","",IFERROR(INDEX(Lists!$H$4:$H$40,MATCH(E262,Lists!$F$4:$F$40,0)),"UNMAPPED"))</f>
        <v/>
      </c>
      <c r="G262" s="25" t="n"/>
      <c r="H262" s="25" t="n"/>
      <c r="I262" s="25" t="n"/>
      <c r="J262" s="25" t="n"/>
      <c r="K262" s="25" t="n"/>
      <c r="L262" s="29" t="n"/>
      <c r="M262" s="25" t="n"/>
      <c r="N262" s="30" t="n"/>
      <c r="O262" s="31">
        <f>IF(N262="","",IF(G262="Revenue",ROUND(N262*VATRate,2),0))</f>
        <v/>
      </c>
      <c r="P262" s="31">
        <f>IF(N262="","",N262+O262)</f>
        <v/>
      </c>
    </row>
    <row r="263">
      <c r="A263" s="26" t="n"/>
      <c r="B263" s="27">
        <f>IF(A263="","",IF(OR(A263&lt;MIN(Lists!$C$4:$C$15),A263&gt;MAX(Lists!$D$4:$D$15)),"No period",INDEX(Lists!$B$4:$B$15,MATCH(A263,Lists!$C$4:$C$15,1))))</f>
        <v/>
      </c>
      <c r="C263" s="28">
        <f>IF(B263="","",IFERROR(INDEX(Lists!$A$4:$A$15,MATCH(B263,Lists!$B$4:$B$15,0)),0))</f>
        <v/>
      </c>
      <c r="D263" s="25" t="n"/>
      <c r="E263" s="24" t="n"/>
      <c r="F263" s="27">
        <f>IF(E263="","",IFERROR(INDEX(Lists!$H$4:$H$40,MATCH(E263,Lists!$F$4:$F$40,0)),"UNMAPPED"))</f>
        <v/>
      </c>
      <c r="G263" s="25" t="n"/>
      <c r="H263" s="25" t="n"/>
      <c r="I263" s="25" t="n"/>
      <c r="J263" s="25" t="n"/>
      <c r="K263" s="25" t="n"/>
      <c r="L263" s="29" t="n"/>
      <c r="M263" s="25" t="n"/>
      <c r="N263" s="30" t="n"/>
      <c r="O263" s="31">
        <f>IF(N263="","",IF(G263="Revenue",ROUND(N263*VATRate,2),0))</f>
        <v/>
      </c>
      <c r="P263" s="31">
        <f>IF(N263="","",N263+O263)</f>
        <v/>
      </c>
    </row>
    <row r="264">
      <c r="A264" s="26" t="n"/>
      <c r="B264" s="27">
        <f>IF(A264="","",IF(OR(A264&lt;MIN(Lists!$C$4:$C$15),A264&gt;MAX(Lists!$D$4:$D$15)),"No period",INDEX(Lists!$B$4:$B$15,MATCH(A264,Lists!$C$4:$C$15,1))))</f>
        <v/>
      </c>
      <c r="C264" s="28">
        <f>IF(B264="","",IFERROR(INDEX(Lists!$A$4:$A$15,MATCH(B264,Lists!$B$4:$B$15,0)),0))</f>
        <v/>
      </c>
      <c r="D264" s="25" t="n"/>
      <c r="E264" s="24" t="n"/>
      <c r="F264" s="27">
        <f>IF(E264="","",IFERROR(INDEX(Lists!$H$4:$H$40,MATCH(E264,Lists!$F$4:$F$40,0)),"UNMAPPED"))</f>
        <v/>
      </c>
      <c r="G264" s="25" t="n"/>
      <c r="H264" s="25" t="n"/>
      <c r="I264" s="25" t="n"/>
      <c r="J264" s="25" t="n"/>
      <c r="K264" s="25" t="n"/>
      <c r="L264" s="29" t="n"/>
      <c r="M264" s="25" t="n"/>
      <c r="N264" s="30" t="n"/>
      <c r="O264" s="31">
        <f>IF(N264="","",IF(G264="Revenue",ROUND(N264*VATRate,2),0))</f>
        <v/>
      </c>
      <c r="P264" s="31">
        <f>IF(N264="","",N264+O264)</f>
        <v/>
      </c>
    </row>
    <row r="265">
      <c r="A265" s="26" t="n"/>
      <c r="B265" s="27">
        <f>IF(A265="","",IF(OR(A265&lt;MIN(Lists!$C$4:$C$15),A265&gt;MAX(Lists!$D$4:$D$15)),"No period",INDEX(Lists!$B$4:$B$15,MATCH(A265,Lists!$C$4:$C$15,1))))</f>
        <v/>
      </c>
      <c r="C265" s="28">
        <f>IF(B265="","",IFERROR(INDEX(Lists!$A$4:$A$15,MATCH(B265,Lists!$B$4:$B$15,0)),0))</f>
        <v/>
      </c>
      <c r="D265" s="25" t="n"/>
      <c r="E265" s="24" t="n"/>
      <c r="F265" s="27">
        <f>IF(E265="","",IFERROR(INDEX(Lists!$H$4:$H$40,MATCH(E265,Lists!$F$4:$F$40,0)),"UNMAPPED"))</f>
        <v/>
      </c>
      <c r="G265" s="25" t="n"/>
      <c r="H265" s="25" t="n"/>
      <c r="I265" s="25" t="n"/>
      <c r="J265" s="25" t="n"/>
      <c r="K265" s="25" t="n"/>
      <c r="L265" s="29" t="n"/>
      <c r="M265" s="25" t="n"/>
      <c r="N265" s="30" t="n"/>
      <c r="O265" s="31">
        <f>IF(N265="","",IF(G265="Revenue",ROUND(N265*VATRate,2),0))</f>
        <v/>
      </c>
      <c r="P265" s="31">
        <f>IF(N265="","",N265+O265)</f>
        <v/>
      </c>
    </row>
    <row r="266">
      <c r="A266" s="26" t="n"/>
      <c r="B266" s="27">
        <f>IF(A266="","",IF(OR(A266&lt;MIN(Lists!$C$4:$C$15),A266&gt;MAX(Lists!$D$4:$D$15)),"No period",INDEX(Lists!$B$4:$B$15,MATCH(A266,Lists!$C$4:$C$15,1))))</f>
        <v/>
      </c>
      <c r="C266" s="28">
        <f>IF(B266="","",IFERROR(INDEX(Lists!$A$4:$A$15,MATCH(B266,Lists!$B$4:$B$15,0)),0))</f>
        <v/>
      </c>
      <c r="D266" s="25" t="n"/>
      <c r="E266" s="24" t="n"/>
      <c r="F266" s="27">
        <f>IF(E266="","",IFERROR(INDEX(Lists!$H$4:$H$40,MATCH(E266,Lists!$F$4:$F$40,0)),"UNMAPPED"))</f>
        <v/>
      </c>
      <c r="G266" s="25" t="n"/>
      <c r="H266" s="25" t="n"/>
      <c r="I266" s="25" t="n"/>
      <c r="J266" s="25" t="n"/>
      <c r="K266" s="25" t="n"/>
      <c r="L266" s="29" t="n"/>
      <c r="M266" s="25" t="n"/>
      <c r="N266" s="30" t="n"/>
      <c r="O266" s="31">
        <f>IF(N266="","",IF(G266="Revenue",ROUND(N266*VATRate,2),0))</f>
        <v/>
      </c>
      <c r="P266" s="31">
        <f>IF(N266="","",N266+O266)</f>
        <v/>
      </c>
    </row>
    <row r="267">
      <c r="A267" s="26" t="n"/>
      <c r="B267" s="27">
        <f>IF(A267="","",IF(OR(A267&lt;MIN(Lists!$C$4:$C$15),A267&gt;MAX(Lists!$D$4:$D$15)),"No period",INDEX(Lists!$B$4:$B$15,MATCH(A267,Lists!$C$4:$C$15,1))))</f>
        <v/>
      </c>
      <c r="C267" s="28">
        <f>IF(B267="","",IFERROR(INDEX(Lists!$A$4:$A$15,MATCH(B267,Lists!$B$4:$B$15,0)),0))</f>
        <v/>
      </c>
      <c r="D267" s="25" t="n"/>
      <c r="E267" s="24" t="n"/>
      <c r="F267" s="27">
        <f>IF(E267="","",IFERROR(INDEX(Lists!$H$4:$H$40,MATCH(E267,Lists!$F$4:$F$40,0)),"UNMAPPED"))</f>
        <v/>
      </c>
      <c r="G267" s="25" t="n"/>
      <c r="H267" s="25" t="n"/>
      <c r="I267" s="25" t="n"/>
      <c r="J267" s="25" t="n"/>
      <c r="K267" s="25" t="n"/>
      <c r="L267" s="29" t="n"/>
      <c r="M267" s="25" t="n"/>
      <c r="N267" s="30" t="n"/>
      <c r="O267" s="31">
        <f>IF(N267="","",IF(G267="Revenue",ROUND(N267*VATRate,2),0))</f>
        <v/>
      </c>
      <c r="P267" s="31">
        <f>IF(N267="","",N267+O267)</f>
        <v/>
      </c>
    </row>
    <row r="268">
      <c r="A268" s="26" t="n"/>
      <c r="B268" s="27">
        <f>IF(A268="","",IF(OR(A268&lt;MIN(Lists!$C$4:$C$15),A268&gt;MAX(Lists!$D$4:$D$15)),"No period",INDEX(Lists!$B$4:$B$15,MATCH(A268,Lists!$C$4:$C$15,1))))</f>
        <v/>
      </c>
      <c r="C268" s="28">
        <f>IF(B268="","",IFERROR(INDEX(Lists!$A$4:$A$15,MATCH(B268,Lists!$B$4:$B$15,0)),0))</f>
        <v/>
      </c>
      <c r="D268" s="25" t="n"/>
      <c r="E268" s="24" t="n"/>
      <c r="F268" s="27">
        <f>IF(E268="","",IFERROR(INDEX(Lists!$H$4:$H$40,MATCH(E268,Lists!$F$4:$F$40,0)),"UNMAPPED"))</f>
        <v/>
      </c>
      <c r="G268" s="25" t="n"/>
      <c r="H268" s="25" t="n"/>
      <c r="I268" s="25" t="n"/>
      <c r="J268" s="25" t="n"/>
      <c r="K268" s="25" t="n"/>
      <c r="L268" s="29" t="n"/>
      <c r="M268" s="25" t="n"/>
      <c r="N268" s="30" t="n"/>
      <c r="O268" s="31">
        <f>IF(N268="","",IF(G268="Revenue",ROUND(N268*VATRate,2),0))</f>
        <v/>
      </c>
      <c r="P268" s="31">
        <f>IF(N268="","",N268+O268)</f>
        <v/>
      </c>
    </row>
    <row r="269">
      <c r="A269" s="26" t="n"/>
      <c r="B269" s="27">
        <f>IF(A269="","",IF(OR(A269&lt;MIN(Lists!$C$4:$C$15),A269&gt;MAX(Lists!$D$4:$D$15)),"No period",INDEX(Lists!$B$4:$B$15,MATCH(A269,Lists!$C$4:$C$15,1))))</f>
        <v/>
      </c>
      <c r="C269" s="28">
        <f>IF(B269="","",IFERROR(INDEX(Lists!$A$4:$A$15,MATCH(B269,Lists!$B$4:$B$15,0)),0))</f>
        <v/>
      </c>
      <c r="D269" s="25" t="n"/>
      <c r="E269" s="24" t="n"/>
      <c r="F269" s="27">
        <f>IF(E269="","",IFERROR(INDEX(Lists!$H$4:$H$40,MATCH(E269,Lists!$F$4:$F$40,0)),"UNMAPPED"))</f>
        <v/>
      </c>
      <c r="G269" s="25" t="n"/>
      <c r="H269" s="25" t="n"/>
      <c r="I269" s="25" t="n"/>
      <c r="J269" s="25" t="n"/>
      <c r="K269" s="25" t="n"/>
      <c r="L269" s="29" t="n"/>
      <c r="M269" s="25" t="n"/>
      <c r="N269" s="30" t="n"/>
      <c r="O269" s="31">
        <f>IF(N269="","",IF(G269="Revenue",ROUND(N269*VATRate,2),0))</f>
        <v/>
      </c>
      <c r="P269" s="31">
        <f>IF(N269="","",N269+O269)</f>
        <v/>
      </c>
    </row>
    <row r="270">
      <c r="A270" s="26" t="n"/>
      <c r="B270" s="27">
        <f>IF(A270="","",IF(OR(A270&lt;MIN(Lists!$C$4:$C$15),A270&gt;MAX(Lists!$D$4:$D$15)),"No period",INDEX(Lists!$B$4:$B$15,MATCH(A270,Lists!$C$4:$C$15,1))))</f>
        <v/>
      </c>
      <c r="C270" s="28">
        <f>IF(B270="","",IFERROR(INDEX(Lists!$A$4:$A$15,MATCH(B270,Lists!$B$4:$B$15,0)),0))</f>
        <v/>
      </c>
      <c r="D270" s="25" t="n"/>
      <c r="E270" s="24" t="n"/>
      <c r="F270" s="27">
        <f>IF(E270="","",IFERROR(INDEX(Lists!$H$4:$H$40,MATCH(E270,Lists!$F$4:$F$40,0)),"UNMAPPED"))</f>
        <v/>
      </c>
      <c r="G270" s="25" t="n"/>
      <c r="H270" s="25" t="n"/>
      <c r="I270" s="25" t="n"/>
      <c r="J270" s="25" t="n"/>
      <c r="K270" s="25" t="n"/>
      <c r="L270" s="29" t="n"/>
      <c r="M270" s="25" t="n"/>
      <c r="N270" s="30" t="n"/>
      <c r="O270" s="31">
        <f>IF(N270="","",IF(G270="Revenue",ROUND(N270*VATRate,2),0))</f>
        <v/>
      </c>
      <c r="P270" s="31">
        <f>IF(N270="","",N270+O270)</f>
        <v/>
      </c>
    </row>
    <row r="271">
      <c r="A271" s="26" t="n"/>
      <c r="B271" s="27">
        <f>IF(A271="","",IF(OR(A271&lt;MIN(Lists!$C$4:$C$15),A271&gt;MAX(Lists!$D$4:$D$15)),"No period",INDEX(Lists!$B$4:$B$15,MATCH(A271,Lists!$C$4:$C$15,1))))</f>
        <v/>
      </c>
      <c r="C271" s="28">
        <f>IF(B271="","",IFERROR(INDEX(Lists!$A$4:$A$15,MATCH(B271,Lists!$B$4:$B$15,0)),0))</f>
        <v/>
      </c>
      <c r="D271" s="25" t="n"/>
      <c r="E271" s="24" t="n"/>
      <c r="F271" s="27">
        <f>IF(E271="","",IFERROR(INDEX(Lists!$H$4:$H$40,MATCH(E271,Lists!$F$4:$F$40,0)),"UNMAPPED"))</f>
        <v/>
      </c>
      <c r="G271" s="25" t="n"/>
      <c r="H271" s="25" t="n"/>
      <c r="I271" s="25" t="n"/>
      <c r="J271" s="25" t="n"/>
      <c r="K271" s="25" t="n"/>
      <c r="L271" s="29" t="n"/>
      <c r="M271" s="25" t="n"/>
      <c r="N271" s="30" t="n"/>
      <c r="O271" s="31">
        <f>IF(N271="","",IF(G271="Revenue",ROUND(N271*VATRate,2),0))</f>
        <v/>
      </c>
      <c r="P271" s="31">
        <f>IF(N271="","",N271+O271)</f>
        <v/>
      </c>
    </row>
    <row r="272">
      <c r="A272" s="26" t="n"/>
      <c r="B272" s="27">
        <f>IF(A272="","",IF(OR(A272&lt;MIN(Lists!$C$4:$C$15),A272&gt;MAX(Lists!$D$4:$D$15)),"No period",INDEX(Lists!$B$4:$B$15,MATCH(A272,Lists!$C$4:$C$15,1))))</f>
        <v/>
      </c>
      <c r="C272" s="28">
        <f>IF(B272="","",IFERROR(INDEX(Lists!$A$4:$A$15,MATCH(B272,Lists!$B$4:$B$15,0)),0))</f>
        <v/>
      </c>
      <c r="D272" s="25" t="n"/>
      <c r="E272" s="24" t="n"/>
      <c r="F272" s="27">
        <f>IF(E272="","",IFERROR(INDEX(Lists!$H$4:$H$40,MATCH(E272,Lists!$F$4:$F$40,0)),"UNMAPPED"))</f>
        <v/>
      </c>
      <c r="G272" s="25" t="n"/>
      <c r="H272" s="25" t="n"/>
      <c r="I272" s="25" t="n"/>
      <c r="J272" s="25" t="n"/>
      <c r="K272" s="25" t="n"/>
      <c r="L272" s="29" t="n"/>
      <c r="M272" s="25" t="n"/>
      <c r="N272" s="30" t="n"/>
      <c r="O272" s="31">
        <f>IF(N272="","",IF(G272="Revenue",ROUND(N272*VATRate,2),0))</f>
        <v/>
      </c>
      <c r="P272" s="31">
        <f>IF(N272="","",N272+O272)</f>
        <v/>
      </c>
    </row>
    <row r="273">
      <c r="A273" s="26" t="n"/>
      <c r="B273" s="27">
        <f>IF(A273="","",IF(OR(A273&lt;MIN(Lists!$C$4:$C$15),A273&gt;MAX(Lists!$D$4:$D$15)),"No period",INDEX(Lists!$B$4:$B$15,MATCH(A273,Lists!$C$4:$C$15,1))))</f>
        <v/>
      </c>
      <c r="C273" s="28">
        <f>IF(B273="","",IFERROR(INDEX(Lists!$A$4:$A$15,MATCH(B273,Lists!$B$4:$B$15,0)),0))</f>
        <v/>
      </c>
      <c r="D273" s="25" t="n"/>
      <c r="E273" s="24" t="n"/>
      <c r="F273" s="27">
        <f>IF(E273="","",IFERROR(INDEX(Lists!$H$4:$H$40,MATCH(E273,Lists!$F$4:$F$40,0)),"UNMAPPED"))</f>
        <v/>
      </c>
      <c r="G273" s="25" t="n"/>
      <c r="H273" s="25" t="n"/>
      <c r="I273" s="25" t="n"/>
      <c r="J273" s="25" t="n"/>
      <c r="K273" s="25" t="n"/>
      <c r="L273" s="29" t="n"/>
      <c r="M273" s="25" t="n"/>
      <c r="N273" s="30" t="n"/>
      <c r="O273" s="31">
        <f>IF(N273="","",IF(G273="Revenue",ROUND(N273*VATRate,2),0))</f>
        <v/>
      </c>
      <c r="P273" s="31">
        <f>IF(N273="","",N273+O273)</f>
        <v/>
      </c>
    </row>
    <row r="274">
      <c r="A274" s="26" t="n"/>
      <c r="B274" s="27">
        <f>IF(A274="","",IF(OR(A274&lt;MIN(Lists!$C$4:$C$15),A274&gt;MAX(Lists!$D$4:$D$15)),"No period",INDEX(Lists!$B$4:$B$15,MATCH(A274,Lists!$C$4:$C$15,1))))</f>
        <v/>
      </c>
      <c r="C274" s="28">
        <f>IF(B274="","",IFERROR(INDEX(Lists!$A$4:$A$15,MATCH(B274,Lists!$B$4:$B$15,0)),0))</f>
        <v/>
      </c>
      <c r="D274" s="25" t="n"/>
      <c r="E274" s="24" t="n"/>
      <c r="F274" s="27">
        <f>IF(E274="","",IFERROR(INDEX(Lists!$H$4:$H$40,MATCH(E274,Lists!$F$4:$F$40,0)),"UNMAPPED"))</f>
        <v/>
      </c>
      <c r="G274" s="25" t="n"/>
      <c r="H274" s="25" t="n"/>
      <c r="I274" s="25" t="n"/>
      <c r="J274" s="25" t="n"/>
      <c r="K274" s="25" t="n"/>
      <c r="L274" s="29" t="n"/>
      <c r="M274" s="25" t="n"/>
      <c r="N274" s="30" t="n"/>
      <c r="O274" s="31">
        <f>IF(N274="","",IF(G274="Revenue",ROUND(N274*VATRate,2),0))</f>
        <v/>
      </c>
      <c r="P274" s="31">
        <f>IF(N274="","",N274+O274)</f>
        <v/>
      </c>
    </row>
    <row r="275">
      <c r="A275" s="26" t="n"/>
      <c r="B275" s="27">
        <f>IF(A275="","",IF(OR(A275&lt;MIN(Lists!$C$4:$C$15),A275&gt;MAX(Lists!$D$4:$D$15)),"No period",INDEX(Lists!$B$4:$B$15,MATCH(A275,Lists!$C$4:$C$15,1))))</f>
        <v/>
      </c>
      <c r="C275" s="28">
        <f>IF(B275="","",IFERROR(INDEX(Lists!$A$4:$A$15,MATCH(B275,Lists!$B$4:$B$15,0)),0))</f>
        <v/>
      </c>
      <c r="D275" s="25" t="n"/>
      <c r="E275" s="24" t="n"/>
      <c r="F275" s="27">
        <f>IF(E275="","",IFERROR(INDEX(Lists!$H$4:$H$40,MATCH(E275,Lists!$F$4:$F$40,0)),"UNMAPPED"))</f>
        <v/>
      </c>
      <c r="G275" s="25" t="n"/>
      <c r="H275" s="25" t="n"/>
      <c r="I275" s="25" t="n"/>
      <c r="J275" s="25" t="n"/>
      <c r="K275" s="25" t="n"/>
      <c r="L275" s="29" t="n"/>
      <c r="M275" s="25" t="n"/>
      <c r="N275" s="30" t="n"/>
      <c r="O275" s="31">
        <f>IF(N275="","",IF(G275="Revenue",ROUND(N275*VATRate,2),0))</f>
        <v/>
      </c>
      <c r="P275" s="31">
        <f>IF(N275="","",N275+O275)</f>
        <v/>
      </c>
    </row>
    <row r="276">
      <c r="A276" s="26" t="n"/>
      <c r="B276" s="27">
        <f>IF(A276="","",IF(OR(A276&lt;MIN(Lists!$C$4:$C$15),A276&gt;MAX(Lists!$D$4:$D$15)),"No period",INDEX(Lists!$B$4:$B$15,MATCH(A276,Lists!$C$4:$C$15,1))))</f>
        <v/>
      </c>
      <c r="C276" s="28">
        <f>IF(B276="","",IFERROR(INDEX(Lists!$A$4:$A$15,MATCH(B276,Lists!$B$4:$B$15,0)),0))</f>
        <v/>
      </c>
      <c r="D276" s="25" t="n"/>
      <c r="E276" s="24" t="n"/>
      <c r="F276" s="27">
        <f>IF(E276="","",IFERROR(INDEX(Lists!$H$4:$H$40,MATCH(E276,Lists!$F$4:$F$40,0)),"UNMAPPED"))</f>
        <v/>
      </c>
      <c r="G276" s="25" t="n"/>
      <c r="H276" s="25" t="n"/>
      <c r="I276" s="25" t="n"/>
      <c r="J276" s="25" t="n"/>
      <c r="K276" s="25" t="n"/>
      <c r="L276" s="29" t="n"/>
      <c r="M276" s="25" t="n"/>
      <c r="N276" s="30" t="n"/>
      <c r="O276" s="31">
        <f>IF(N276="","",IF(G276="Revenue",ROUND(N276*VATRate,2),0))</f>
        <v/>
      </c>
      <c r="P276" s="31">
        <f>IF(N276="","",N276+O276)</f>
        <v/>
      </c>
    </row>
    <row r="277">
      <c r="A277" s="26" t="n"/>
      <c r="B277" s="27">
        <f>IF(A277="","",IF(OR(A277&lt;MIN(Lists!$C$4:$C$15),A277&gt;MAX(Lists!$D$4:$D$15)),"No period",INDEX(Lists!$B$4:$B$15,MATCH(A277,Lists!$C$4:$C$15,1))))</f>
        <v/>
      </c>
      <c r="C277" s="28">
        <f>IF(B277="","",IFERROR(INDEX(Lists!$A$4:$A$15,MATCH(B277,Lists!$B$4:$B$15,0)),0))</f>
        <v/>
      </c>
      <c r="D277" s="25" t="n"/>
      <c r="E277" s="24" t="n"/>
      <c r="F277" s="27">
        <f>IF(E277="","",IFERROR(INDEX(Lists!$H$4:$H$40,MATCH(E277,Lists!$F$4:$F$40,0)),"UNMAPPED"))</f>
        <v/>
      </c>
      <c r="G277" s="25" t="n"/>
      <c r="H277" s="25" t="n"/>
      <c r="I277" s="25" t="n"/>
      <c r="J277" s="25" t="n"/>
      <c r="K277" s="25" t="n"/>
      <c r="L277" s="29" t="n"/>
      <c r="M277" s="25" t="n"/>
      <c r="N277" s="30" t="n"/>
      <c r="O277" s="31">
        <f>IF(N277="","",IF(G277="Revenue",ROUND(N277*VATRate,2),0))</f>
        <v/>
      </c>
      <c r="P277" s="31">
        <f>IF(N277="","",N277+O277)</f>
        <v/>
      </c>
    </row>
    <row r="278">
      <c r="A278" s="26" t="n"/>
      <c r="B278" s="27">
        <f>IF(A278="","",IF(OR(A278&lt;MIN(Lists!$C$4:$C$15),A278&gt;MAX(Lists!$D$4:$D$15)),"No period",INDEX(Lists!$B$4:$B$15,MATCH(A278,Lists!$C$4:$C$15,1))))</f>
        <v/>
      </c>
      <c r="C278" s="28">
        <f>IF(B278="","",IFERROR(INDEX(Lists!$A$4:$A$15,MATCH(B278,Lists!$B$4:$B$15,0)),0))</f>
        <v/>
      </c>
      <c r="D278" s="25" t="n"/>
      <c r="E278" s="24" t="n"/>
      <c r="F278" s="27">
        <f>IF(E278="","",IFERROR(INDEX(Lists!$H$4:$H$40,MATCH(E278,Lists!$F$4:$F$40,0)),"UNMAPPED"))</f>
        <v/>
      </c>
      <c r="G278" s="25" t="n"/>
      <c r="H278" s="25" t="n"/>
      <c r="I278" s="25" t="n"/>
      <c r="J278" s="25" t="n"/>
      <c r="K278" s="25" t="n"/>
      <c r="L278" s="29" t="n"/>
      <c r="M278" s="25" t="n"/>
      <c r="N278" s="30" t="n"/>
      <c r="O278" s="31">
        <f>IF(N278="","",IF(G278="Revenue",ROUND(N278*VATRate,2),0))</f>
        <v/>
      </c>
      <c r="P278" s="31">
        <f>IF(N278="","",N278+O278)</f>
        <v/>
      </c>
    </row>
    <row r="279">
      <c r="A279" s="26" t="n"/>
      <c r="B279" s="27">
        <f>IF(A279="","",IF(OR(A279&lt;MIN(Lists!$C$4:$C$15),A279&gt;MAX(Lists!$D$4:$D$15)),"No period",INDEX(Lists!$B$4:$B$15,MATCH(A279,Lists!$C$4:$C$15,1))))</f>
        <v/>
      </c>
      <c r="C279" s="28">
        <f>IF(B279="","",IFERROR(INDEX(Lists!$A$4:$A$15,MATCH(B279,Lists!$B$4:$B$15,0)),0))</f>
        <v/>
      </c>
      <c r="D279" s="25" t="n"/>
      <c r="E279" s="24" t="n"/>
      <c r="F279" s="27">
        <f>IF(E279="","",IFERROR(INDEX(Lists!$H$4:$H$40,MATCH(E279,Lists!$F$4:$F$40,0)),"UNMAPPED"))</f>
        <v/>
      </c>
      <c r="G279" s="25" t="n"/>
      <c r="H279" s="25" t="n"/>
      <c r="I279" s="25" t="n"/>
      <c r="J279" s="25" t="n"/>
      <c r="K279" s="25" t="n"/>
      <c r="L279" s="29" t="n"/>
      <c r="M279" s="25" t="n"/>
      <c r="N279" s="30" t="n"/>
      <c r="O279" s="31">
        <f>IF(N279="","",IF(G279="Revenue",ROUND(N279*VATRate,2),0))</f>
        <v/>
      </c>
      <c r="P279" s="31">
        <f>IF(N279="","",N279+O279)</f>
        <v/>
      </c>
    </row>
    <row r="280">
      <c r="A280" s="26" t="n"/>
      <c r="B280" s="27">
        <f>IF(A280="","",IF(OR(A280&lt;MIN(Lists!$C$4:$C$15),A280&gt;MAX(Lists!$D$4:$D$15)),"No period",INDEX(Lists!$B$4:$B$15,MATCH(A280,Lists!$C$4:$C$15,1))))</f>
        <v/>
      </c>
      <c r="C280" s="28">
        <f>IF(B280="","",IFERROR(INDEX(Lists!$A$4:$A$15,MATCH(B280,Lists!$B$4:$B$15,0)),0))</f>
        <v/>
      </c>
      <c r="D280" s="25" t="n"/>
      <c r="E280" s="24" t="n"/>
      <c r="F280" s="27">
        <f>IF(E280="","",IFERROR(INDEX(Lists!$H$4:$H$40,MATCH(E280,Lists!$F$4:$F$40,0)),"UNMAPPED"))</f>
        <v/>
      </c>
      <c r="G280" s="25" t="n"/>
      <c r="H280" s="25" t="n"/>
      <c r="I280" s="25" t="n"/>
      <c r="J280" s="25" t="n"/>
      <c r="K280" s="25" t="n"/>
      <c r="L280" s="29" t="n"/>
      <c r="M280" s="25" t="n"/>
      <c r="N280" s="30" t="n"/>
      <c r="O280" s="31">
        <f>IF(N280="","",IF(G280="Revenue",ROUND(N280*VATRate,2),0))</f>
        <v/>
      </c>
      <c r="P280" s="31">
        <f>IF(N280="","",N280+O280)</f>
        <v/>
      </c>
    </row>
    <row r="281">
      <c r="A281" s="26" t="n"/>
      <c r="B281" s="27">
        <f>IF(A281="","",IF(OR(A281&lt;MIN(Lists!$C$4:$C$15),A281&gt;MAX(Lists!$D$4:$D$15)),"No period",INDEX(Lists!$B$4:$B$15,MATCH(A281,Lists!$C$4:$C$15,1))))</f>
        <v/>
      </c>
      <c r="C281" s="28">
        <f>IF(B281="","",IFERROR(INDEX(Lists!$A$4:$A$15,MATCH(B281,Lists!$B$4:$B$15,0)),0))</f>
        <v/>
      </c>
      <c r="D281" s="25" t="n"/>
      <c r="E281" s="24" t="n"/>
      <c r="F281" s="27">
        <f>IF(E281="","",IFERROR(INDEX(Lists!$H$4:$H$40,MATCH(E281,Lists!$F$4:$F$40,0)),"UNMAPPED"))</f>
        <v/>
      </c>
      <c r="G281" s="25" t="n"/>
      <c r="H281" s="25" t="n"/>
      <c r="I281" s="25" t="n"/>
      <c r="J281" s="25" t="n"/>
      <c r="K281" s="25" t="n"/>
      <c r="L281" s="29" t="n"/>
      <c r="M281" s="25" t="n"/>
      <c r="N281" s="30" t="n"/>
      <c r="O281" s="31">
        <f>IF(N281="","",IF(G281="Revenue",ROUND(N281*VATRate,2),0))</f>
        <v/>
      </c>
      <c r="P281" s="31">
        <f>IF(N281="","",N281+O281)</f>
        <v/>
      </c>
    </row>
    <row r="282">
      <c r="A282" s="26" t="n"/>
      <c r="B282" s="27">
        <f>IF(A282="","",IF(OR(A282&lt;MIN(Lists!$C$4:$C$15),A282&gt;MAX(Lists!$D$4:$D$15)),"No period",INDEX(Lists!$B$4:$B$15,MATCH(A282,Lists!$C$4:$C$15,1))))</f>
        <v/>
      </c>
      <c r="C282" s="28">
        <f>IF(B282="","",IFERROR(INDEX(Lists!$A$4:$A$15,MATCH(B282,Lists!$B$4:$B$15,0)),0))</f>
        <v/>
      </c>
      <c r="D282" s="25" t="n"/>
      <c r="E282" s="24" t="n"/>
      <c r="F282" s="27">
        <f>IF(E282="","",IFERROR(INDEX(Lists!$H$4:$H$40,MATCH(E282,Lists!$F$4:$F$40,0)),"UNMAPPED"))</f>
        <v/>
      </c>
      <c r="G282" s="25" t="n"/>
      <c r="H282" s="25" t="n"/>
      <c r="I282" s="25" t="n"/>
      <c r="J282" s="25" t="n"/>
      <c r="K282" s="25" t="n"/>
      <c r="L282" s="29" t="n"/>
      <c r="M282" s="25" t="n"/>
      <c r="N282" s="30" t="n"/>
      <c r="O282" s="31">
        <f>IF(N282="","",IF(G282="Revenue",ROUND(N282*VATRate,2),0))</f>
        <v/>
      </c>
      <c r="P282" s="31">
        <f>IF(N282="","",N282+O282)</f>
        <v/>
      </c>
    </row>
    <row r="283">
      <c r="A283" s="26" t="n"/>
      <c r="B283" s="27">
        <f>IF(A283="","",IF(OR(A283&lt;MIN(Lists!$C$4:$C$15),A283&gt;MAX(Lists!$D$4:$D$15)),"No period",INDEX(Lists!$B$4:$B$15,MATCH(A283,Lists!$C$4:$C$15,1))))</f>
        <v/>
      </c>
      <c r="C283" s="28">
        <f>IF(B283="","",IFERROR(INDEX(Lists!$A$4:$A$15,MATCH(B283,Lists!$B$4:$B$15,0)),0))</f>
        <v/>
      </c>
      <c r="D283" s="25" t="n"/>
      <c r="E283" s="24" t="n"/>
      <c r="F283" s="27">
        <f>IF(E283="","",IFERROR(INDEX(Lists!$H$4:$H$40,MATCH(E283,Lists!$F$4:$F$40,0)),"UNMAPPED"))</f>
        <v/>
      </c>
      <c r="G283" s="25" t="n"/>
      <c r="H283" s="25" t="n"/>
      <c r="I283" s="25" t="n"/>
      <c r="J283" s="25" t="n"/>
      <c r="K283" s="25" t="n"/>
      <c r="L283" s="29" t="n"/>
      <c r="M283" s="25" t="n"/>
      <c r="N283" s="30" t="n"/>
      <c r="O283" s="31">
        <f>IF(N283="","",IF(G283="Revenue",ROUND(N283*VATRate,2),0))</f>
        <v/>
      </c>
      <c r="P283" s="31">
        <f>IF(N283="","",N283+O283)</f>
        <v/>
      </c>
    </row>
    <row r="284">
      <c r="A284" s="26" t="n"/>
      <c r="B284" s="27">
        <f>IF(A284="","",IF(OR(A284&lt;MIN(Lists!$C$4:$C$15),A284&gt;MAX(Lists!$D$4:$D$15)),"No period",INDEX(Lists!$B$4:$B$15,MATCH(A284,Lists!$C$4:$C$15,1))))</f>
        <v/>
      </c>
      <c r="C284" s="28">
        <f>IF(B284="","",IFERROR(INDEX(Lists!$A$4:$A$15,MATCH(B284,Lists!$B$4:$B$15,0)),0))</f>
        <v/>
      </c>
      <c r="D284" s="25" t="n"/>
      <c r="E284" s="24" t="n"/>
      <c r="F284" s="27">
        <f>IF(E284="","",IFERROR(INDEX(Lists!$H$4:$H$40,MATCH(E284,Lists!$F$4:$F$40,0)),"UNMAPPED"))</f>
        <v/>
      </c>
      <c r="G284" s="25" t="n"/>
      <c r="H284" s="25" t="n"/>
      <c r="I284" s="25" t="n"/>
      <c r="J284" s="25" t="n"/>
      <c r="K284" s="25" t="n"/>
      <c r="L284" s="29" t="n"/>
      <c r="M284" s="25" t="n"/>
      <c r="N284" s="30" t="n"/>
      <c r="O284" s="31">
        <f>IF(N284="","",IF(G284="Revenue",ROUND(N284*VATRate,2),0))</f>
        <v/>
      </c>
      <c r="P284" s="31">
        <f>IF(N284="","",N284+O284)</f>
        <v/>
      </c>
    </row>
    <row r="285">
      <c r="A285" s="26" t="n"/>
      <c r="B285" s="27">
        <f>IF(A285="","",IF(OR(A285&lt;MIN(Lists!$C$4:$C$15),A285&gt;MAX(Lists!$D$4:$D$15)),"No period",INDEX(Lists!$B$4:$B$15,MATCH(A285,Lists!$C$4:$C$15,1))))</f>
        <v/>
      </c>
      <c r="C285" s="28">
        <f>IF(B285="","",IFERROR(INDEX(Lists!$A$4:$A$15,MATCH(B285,Lists!$B$4:$B$15,0)),0))</f>
        <v/>
      </c>
      <c r="D285" s="25" t="n"/>
      <c r="E285" s="24" t="n"/>
      <c r="F285" s="27">
        <f>IF(E285="","",IFERROR(INDEX(Lists!$H$4:$H$40,MATCH(E285,Lists!$F$4:$F$40,0)),"UNMAPPED"))</f>
        <v/>
      </c>
      <c r="G285" s="25" t="n"/>
      <c r="H285" s="25" t="n"/>
      <c r="I285" s="25" t="n"/>
      <c r="J285" s="25" t="n"/>
      <c r="K285" s="25" t="n"/>
      <c r="L285" s="29" t="n"/>
      <c r="M285" s="25" t="n"/>
      <c r="N285" s="30" t="n"/>
      <c r="O285" s="31">
        <f>IF(N285="","",IF(G285="Revenue",ROUND(N285*VATRate,2),0))</f>
        <v/>
      </c>
      <c r="P285" s="31">
        <f>IF(N285="","",N285+O285)</f>
        <v/>
      </c>
    </row>
    <row r="286">
      <c r="A286" s="26" t="n"/>
      <c r="B286" s="27">
        <f>IF(A286="","",IF(OR(A286&lt;MIN(Lists!$C$4:$C$15),A286&gt;MAX(Lists!$D$4:$D$15)),"No period",INDEX(Lists!$B$4:$B$15,MATCH(A286,Lists!$C$4:$C$15,1))))</f>
        <v/>
      </c>
      <c r="C286" s="28">
        <f>IF(B286="","",IFERROR(INDEX(Lists!$A$4:$A$15,MATCH(B286,Lists!$B$4:$B$15,0)),0))</f>
        <v/>
      </c>
      <c r="D286" s="25" t="n"/>
      <c r="E286" s="24" t="n"/>
      <c r="F286" s="27">
        <f>IF(E286="","",IFERROR(INDEX(Lists!$H$4:$H$40,MATCH(E286,Lists!$F$4:$F$40,0)),"UNMAPPED"))</f>
        <v/>
      </c>
      <c r="G286" s="25" t="n"/>
      <c r="H286" s="25" t="n"/>
      <c r="I286" s="25" t="n"/>
      <c r="J286" s="25" t="n"/>
      <c r="K286" s="25" t="n"/>
      <c r="L286" s="29" t="n"/>
      <c r="M286" s="25" t="n"/>
      <c r="N286" s="30" t="n"/>
      <c r="O286" s="31">
        <f>IF(N286="","",IF(G286="Revenue",ROUND(N286*VATRate,2),0))</f>
        <v/>
      </c>
      <c r="P286" s="31">
        <f>IF(N286="","",N286+O286)</f>
        <v/>
      </c>
    </row>
    <row r="287">
      <c r="A287" s="26" t="n"/>
      <c r="B287" s="27">
        <f>IF(A287="","",IF(OR(A287&lt;MIN(Lists!$C$4:$C$15),A287&gt;MAX(Lists!$D$4:$D$15)),"No period",INDEX(Lists!$B$4:$B$15,MATCH(A287,Lists!$C$4:$C$15,1))))</f>
        <v/>
      </c>
      <c r="C287" s="28">
        <f>IF(B287="","",IFERROR(INDEX(Lists!$A$4:$A$15,MATCH(B287,Lists!$B$4:$B$15,0)),0))</f>
        <v/>
      </c>
      <c r="D287" s="25" t="n"/>
      <c r="E287" s="24" t="n"/>
      <c r="F287" s="27">
        <f>IF(E287="","",IFERROR(INDEX(Lists!$H$4:$H$40,MATCH(E287,Lists!$F$4:$F$40,0)),"UNMAPPED"))</f>
        <v/>
      </c>
      <c r="G287" s="25" t="n"/>
      <c r="H287" s="25" t="n"/>
      <c r="I287" s="25" t="n"/>
      <c r="J287" s="25" t="n"/>
      <c r="K287" s="25" t="n"/>
      <c r="L287" s="29" t="n"/>
      <c r="M287" s="25" t="n"/>
      <c r="N287" s="30" t="n"/>
      <c r="O287" s="31">
        <f>IF(N287="","",IF(G287="Revenue",ROUND(N287*VATRate,2),0))</f>
        <v/>
      </c>
      <c r="P287" s="31">
        <f>IF(N287="","",N287+O287)</f>
        <v/>
      </c>
    </row>
    <row r="288">
      <c r="A288" s="26" t="n"/>
      <c r="B288" s="27">
        <f>IF(A288="","",IF(OR(A288&lt;MIN(Lists!$C$4:$C$15),A288&gt;MAX(Lists!$D$4:$D$15)),"No period",INDEX(Lists!$B$4:$B$15,MATCH(A288,Lists!$C$4:$C$15,1))))</f>
        <v/>
      </c>
      <c r="C288" s="28">
        <f>IF(B288="","",IFERROR(INDEX(Lists!$A$4:$A$15,MATCH(B288,Lists!$B$4:$B$15,0)),0))</f>
        <v/>
      </c>
      <c r="D288" s="25" t="n"/>
      <c r="E288" s="24" t="n"/>
      <c r="F288" s="27">
        <f>IF(E288="","",IFERROR(INDEX(Lists!$H$4:$H$40,MATCH(E288,Lists!$F$4:$F$40,0)),"UNMAPPED"))</f>
        <v/>
      </c>
      <c r="G288" s="25" t="n"/>
      <c r="H288" s="25" t="n"/>
      <c r="I288" s="25" t="n"/>
      <c r="J288" s="25" t="n"/>
      <c r="K288" s="25" t="n"/>
      <c r="L288" s="29" t="n"/>
      <c r="M288" s="25" t="n"/>
      <c r="N288" s="30" t="n"/>
      <c r="O288" s="31">
        <f>IF(N288="","",IF(G288="Revenue",ROUND(N288*VATRate,2),0))</f>
        <v/>
      </c>
      <c r="P288" s="31">
        <f>IF(N288="","",N288+O288)</f>
        <v/>
      </c>
    </row>
    <row r="289">
      <c r="A289" s="26" t="n"/>
      <c r="B289" s="27">
        <f>IF(A289="","",IF(OR(A289&lt;MIN(Lists!$C$4:$C$15),A289&gt;MAX(Lists!$D$4:$D$15)),"No period",INDEX(Lists!$B$4:$B$15,MATCH(A289,Lists!$C$4:$C$15,1))))</f>
        <v/>
      </c>
      <c r="C289" s="28">
        <f>IF(B289="","",IFERROR(INDEX(Lists!$A$4:$A$15,MATCH(B289,Lists!$B$4:$B$15,0)),0))</f>
        <v/>
      </c>
      <c r="D289" s="25" t="n"/>
      <c r="E289" s="24" t="n"/>
      <c r="F289" s="27">
        <f>IF(E289="","",IFERROR(INDEX(Lists!$H$4:$H$40,MATCH(E289,Lists!$F$4:$F$40,0)),"UNMAPPED"))</f>
        <v/>
      </c>
      <c r="G289" s="25" t="n"/>
      <c r="H289" s="25" t="n"/>
      <c r="I289" s="25" t="n"/>
      <c r="J289" s="25" t="n"/>
      <c r="K289" s="25" t="n"/>
      <c r="L289" s="29" t="n"/>
      <c r="M289" s="25" t="n"/>
      <c r="N289" s="30" t="n"/>
      <c r="O289" s="31">
        <f>IF(N289="","",IF(G289="Revenue",ROUND(N289*VATRate,2),0))</f>
        <v/>
      </c>
      <c r="P289" s="31">
        <f>IF(N289="","",N289+O289)</f>
        <v/>
      </c>
    </row>
    <row r="290">
      <c r="A290" s="26" t="n"/>
      <c r="B290" s="27">
        <f>IF(A290="","",IF(OR(A290&lt;MIN(Lists!$C$4:$C$15),A290&gt;MAX(Lists!$D$4:$D$15)),"No period",INDEX(Lists!$B$4:$B$15,MATCH(A290,Lists!$C$4:$C$15,1))))</f>
        <v/>
      </c>
      <c r="C290" s="28">
        <f>IF(B290="","",IFERROR(INDEX(Lists!$A$4:$A$15,MATCH(B290,Lists!$B$4:$B$15,0)),0))</f>
        <v/>
      </c>
      <c r="D290" s="25" t="n"/>
      <c r="E290" s="24" t="n"/>
      <c r="F290" s="27">
        <f>IF(E290="","",IFERROR(INDEX(Lists!$H$4:$H$40,MATCH(E290,Lists!$F$4:$F$40,0)),"UNMAPPED"))</f>
        <v/>
      </c>
      <c r="G290" s="25" t="n"/>
      <c r="H290" s="25" t="n"/>
      <c r="I290" s="25" t="n"/>
      <c r="J290" s="25" t="n"/>
      <c r="K290" s="25" t="n"/>
      <c r="L290" s="29" t="n"/>
      <c r="M290" s="25" t="n"/>
      <c r="N290" s="30" t="n"/>
      <c r="O290" s="31">
        <f>IF(N290="","",IF(G290="Revenue",ROUND(N290*VATRate,2),0))</f>
        <v/>
      </c>
      <c r="P290" s="31">
        <f>IF(N290="","",N290+O290)</f>
        <v/>
      </c>
    </row>
    <row r="291">
      <c r="A291" s="26" t="n"/>
      <c r="B291" s="27">
        <f>IF(A291="","",IF(OR(A291&lt;MIN(Lists!$C$4:$C$15),A291&gt;MAX(Lists!$D$4:$D$15)),"No period",INDEX(Lists!$B$4:$B$15,MATCH(A291,Lists!$C$4:$C$15,1))))</f>
        <v/>
      </c>
      <c r="C291" s="28">
        <f>IF(B291="","",IFERROR(INDEX(Lists!$A$4:$A$15,MATCH(B291,Lists!$B$4:$B$15,0)),0))</f>
        <v/>
      </c>
      <c r="D291" s="25" t="n"/>
      <c r="E291" s="24" t="n"/>
      <c r="F291" s="27">
        <f>IF(E291="","",IFERROR(INDEX(Lists!$H$4:$H$40,MATCH(E291,Lists!$F$4:$F$40,0)),"UNMAPPED"))</f>
        <v/>
      </c>
      <c r="G291" s="25" t="n"/>
      <c r="H291" s="25" t="n"/>
      <c r="I291" s="25" t="n"/>
      <c r="J291" s="25" t="n"/>
      <c r="K291" s="25" t="n"/>
      <c r="L291" s="29" t="n"/>
      <c r="M291" s="25" t="n"/>
      <c r="N291" s="30" t="n"/>
      <c r="O291" s="31">
        <f>IF(N291="","",IF(G291="Revenue",ROUND(N291*VATRate,2),0))</f>
        <v/>
      </c>
      <c r="P291" s="31">
        <f>IF(N291="","",N291+O291)</f>
        <v/>
      </c>
    </row>
    <row r="292">
      <c r="A292" s="26" t="n"/>
      <c r="B292" s="27">
        <f>IF(A292="","",IF(OR(A292&lt;MIN(Lists!$C$4:$C$15),A292&gt;MAX(Lists!$D$4:$D$15)),"No period",INDEX(Lists!$B$4:$B$15,MATCH(A292,Lists!$C$4:$C$15,1))))</f>
        <v/>
      </c>
      <c r="C292" s="28">
        <f>IF(B292="","",IFERROR(INDEX(Lists!$A$4:$A$15,MATCH(B292,Lists!$B$4:$B$15,0)),0))</f>
        <v/>
      </c>
      <c r="D292" s="25" t="n"/>
      <c r="E292" s="24" t="n"/>
      <c r="F292" s="27">
        <f>IF(E292="","",IFERROR(INDEX(Lists!$H$4:$H$40,MATCH(E292,Lists!$F$4:$F$40,0)),"UNMAPPED"))</f>
        <v/>
      </c>
      <c r="G292" s="25" t="n"/>
      <c r="H292" s="25" t="n"/>
      <c r="I292" s="25" t="n"/>
      <c r="J292" s="25" t="n"/>
      <c r="K292" s="25" t="n"/>
      <c r="L292" s="29" t="n"/>
      <c r="M292" s="25" t="n"/>
      <c r="N292" s="30" t="n"/>
      <c r="O292" s="31">
        <f>IF(N292="","",IF(G292="Revenue",ROUND(N292*VATRate,2),0))</f>
        <v/>
      </c>
      <c r="P292" s="31">
        <f>IF(N292="","",N292+O292)</f>
        <v/>
      </c>
    </row>
    <row r="293">
      <c r="A293" s="26" t="n"/>
      <c r="B293" s="27">
        <f>IF(A293="","",IF(OR(A293&lt;MIN(Lists!$C$4:$C$15),A293&gt;MAX(Lists!$D$4:$D$15)),"No period",INDEX(Lists!$B$4:$B$15,MATCH(A293,Lists!$C$4:$C$15,1))))</f>
        <v/>
      </c>
      <c r="C293" s="28">
        <f>IF(B293="","",IFERROR(INDEX(Lists!$A$4:$A$15,MATCH(B293,Lists!$B$4:$B$15,0)),0))</f>
        <v/>
      </c>
      <c r="D293" s="25" t="n"/>
      <c r="E293" s="24" t="n"/>
      <c r="F293" s="27">
        <f>IF(E293="","",IFERROR(INDEX(Lists!$H$4:$H$40,MATCH(E293,Lists!$F$4:$F$40,0)),"UNMAPPED"))</f>
        <v/>
      </c>
      <c r="G293" s="25" t="n"/>
      <c r="H293" s="25" t="n"/>
      <c r="I293" s="25" t="n"/>
      <c r="J293" s="25" t="n"/>
      <c r="K293" s="25" t="n"/>
      <c r="L293" s="29" t="n"/>
      <c r="M293" s="25" t="n"/>
      <c r="N293" s="30" t="n"/>
      <c r="O293" s="31">
        <f>IF(N293="","",IF(G293="Revenue",ROUND(N293*VATRate,2),0))</f>
        <v/>
      </c>
      <c r="P293" s="31">
        <f>IF(N293="","",N293+O293)</f>
        <v/>
      </c>
    </row>
    <row r="294">
      <c r="A294" s="26" t="n"/>
      <c r="B294" s="27">
        <f>IF(A294="","",IF(OR(A294&lt;MIN(Lists!$C$4:$C$15),A294&gt;MAX(Lists!$D$4:$D$15)),"No period",INDEX(Lists!$B$4:$B$15,MATCH(A294,Lists!$C$4:$C$15,1))))</f>
        <v/>
      </c>
      <c r="C294" s="28">
        <f>IF(B294="","",IFERROR(INDEX(Lists!$A$4:$A$15,MATCH(B294,Lists!$B$4:$B$15,0)),0))</f>
        <v/>
      </c>
      <c r="D294" s="25" t="n"/>
      <c r="E294" s="24" t="n"/>
      <c r="F294" s="27">
        <f>IF(E294="","",IFERROR(INDEX(Lists!$H$4:$H$40,MATCH(E294,Lists!$F$4:$F$40,0)),"UNMAPPED"))</f>
        <v/>
      </c>
      <c r="G294" s="25" t="n"/>
      <c r="H294" s="25" t="n"/>
      <c r="I294" s="25" t="n"/>
      <c r="J294" s="25" t="n"/>
      <c r="K294" s="25" t="n"/>
      <c r="L294" s="29" t="n"/>
      <c r="M294" s="25" t="n"/>
      <c r="N294" s="30" t="n"/>
      <c r="O294" s="31">
        <f>IF(N294="","",IF(G294="Revenue",ROUND(N294*VATRate,2),0))</f>
        <v/>
      </c>
      <c r="P294" s="31">
        <f>IF(N294="","",N294+O294)</f>
        <v/>
      </c>
    </row>
    <row r="295">
      <c r="A295" s="26" t="n"/>
      <c r="B295" s="27">
        <f>IF(A295="","",IF(OR(A295&lt;MIN(Lists!$C$4:$C$15),A295&gt;MAX(Lists!$D$4:$D$15)),"No period",INDEX(Lists!$B$4:$B$15,MATCH(A295,Lists!$C$4:$C$15,1))))</f>
        <v/>
      </c>
      <c r="C295" s="28">
        <f>IF(B295="","",IFERROR(INDEX(Lists!$A$4:$A$15,MATCH(B295,Lists!$B$4:$B$15,0)),0))</f>
        <v/>
      </c>
      <c r="D295" s="25" t="n"/>
      <c r="E295" s="24" t="n"/>
      <c r="F295" s="27">
        <f>IF(E295="","",IFERROR(INDEX(Lists!$H$4:$H$40,MATCH(E295,Lists!$F$4:$F$40,0)),"UNMAPPED"))</f>
        <v/>
      </c>
      <c r="G295" s="25" t="n"/>
      <c r="H295" s="25" t="n"/>
      <c r="I295" s="25" t="n"/>
      <c r="J295" s="25" t="n"/>
      <c r="K295" s="25" t="n"/>
      <c r="L295" s="29" t="n"/>
      <c r="M295" s="25" t="n"/>
      <c r="N295" s="30" t="n"/>
      <c r="O295" s="31">
        <f>IF(N295="","",IF(G295="Revenue",ROUND(N295*VATRate,2),0))</f>
        <v/>
      </c>
      <c r="P295" s="31">
        <f>IF(N295="","",N295+O295)</f>
        <v/>
      </c>
    </row>
    <row r="296">
      <c r="A296" s="26" t="n"/>
      <c r="B296" s="27">
        <f>IF(A296="","",IF(OR(A296&lt;MIN(Lists!$C$4:$C$15),A296&gt;MAX(Lists!$D$4:$D$15)),"No period",INDEX(Lists!$B$4:$B$15,MATCH(A296,Lists!$C$4:$C$15,1))))</f>
        <v/>
      </c>
      <c r="C296" s="28">
        <f>IF(B296="","",IFERROR(INDEX(Lists!$A$4:$A$15,MATCH(B296,Lists!$B$4:$B$15,0)),0))</f>
        <v/>
      </c>
      <c r="D296" s="25" t="n"/>
      <c r="E296" s="24" t="n"/>
      <c r="F296" s="27">
        <f>IF(E296="","",IFERROR(INDEX(Lists!$H$4:$H$40,MATCH(E296,Lists!$F$4:$F$40,0)),"UNMAPPED"))</f>
        <v/>
      </c>
      <c r="G296" s="25" t="n"/>
      <c r="H296" s="25" t="n"/>
      <c r="I296" s="25" t="n"/>
      <c r="J296" s="25" t="n"/>
      <c r="K296" s="25" t="n"/>
      <c r="L296" s="29" t="n"/>
      <c r="M296" s="25" t="n"/>
      <c r="N296" s="30" t="n"/>
      <c r="O296" s="31">
        <f>IF(N296="","",IF(G296="Revenue",ROUND(N296*VATRate,2),0))</f>
        <v/>
      </c>
      <c r="P296" s="31">
        <f>IF(N296="","",N296+O296)</f>
        <v/>
      </c>
    </row>
    <row r="297">
      <c r="A297" s="26" t="n"/>
      <c r="B297" s="27">
        <f>IF(A297="","",IF(OR(A297&lt;MIN(Lists!$C$4:$C$15),A297&gt;MAX(Lists!$D$4:$D$15)),"No period",INDEX(Lists!$B$4:$B$15,MATCH(A297,Lists!$C$4:$C$15,1))))</f>
        <v/>
      </c>
      <c r="C297" s="28">
        <f>IF(B297="","",IFERROR(INDEX(Lists!$A$4:$A$15,MATCH(B297,Lists!$B$4:$B$15,0)),0))</f>
        <v/>
      </c>
      <c r="D297" s="25" t="n"/>
      <c r="E297" s="24" t="n"/>
      <c r="F297" s="27">
        <f>IF(E297="","",IFERROR(INDEX(Lists!$H$4:$H$40,MATCH(E297,Lists!$F$4:$F$40,0)),"UNMAPPED"))</f>
        <v/>
      </c>
      <c r="G297" s="25" t="n"/>
      <c r="H297" s="25" t="n"/>
      <c r="I297" s="25" t="n"/>
      <c r="J297" s="25" t="n"/>
      <c r="K297" s="25" t="n"/>
      <c r="L297" s="29" t="n"/>
      <c r="M297" s="25" t="n"/>
      <c r="N297" s="30" t="n"/>
      <c r="O297" s="31">
        <f>IF(N297="","",IF(G297="Revenue",ROUND(N297*VATRate,2),0))</f>
        <v/>
      </c>
      <c r="P297" s="31">
        <f>IF(N297="","",N297+O297)</f>
        <v/>
      </c>
    </row>
    <row r="298">
      <c r="A298" s="26" t="n"/>
      <c r="B298" s="27">
        <f>IF(A298="","",IF(OR(A298&lt;MIN(Lists!$C$4:$C$15),A298&gt;MAX(Lists!$D$4:$D$15)),"No period",INDEX(Lists!$B$4:$B$15,MATCH(A298,Lists!$C$4:$C$15,1))))</f>
        <v/>
      </c>
      <c r="C298" s="28">
        <f>IF(B298="","",IFERROR(INDEX(Lists!$A$4:$A$15,MATCH(B298,Lists!$B$4:$B$15,0)),0))</f>
        <v/>
      </c>
      <c r="D298" s="25" t="n"/>
      <c r="E298" s="24" t="n"/>
      <c r="F298" s="27">
        <f>IF(E298="","",IFERROR(INDEX(Lists!$H$4:$H$40,MATCH(E298,Lists!$F$4:$F$40,0)),"UNMAPPED"))</f>
        <v/>
      </c>
      <c r="G298" s="25" t="n"/>
      <c r="H298" s="25" t="n"/>
      <c r="I298" s="25" t="n"/>
      <c r="J298" s="25" t="n"/>
      <c r="K298" s="25" t="n"/>
      <c r="L298" s="29" t="n"/>
      <c r="M298" s="25" t="n"/>
      <c r="N298" s="30" t="n"/>
      <c r="O298" s="31">
        <f>IF(N298="","",IF(G298="Revenue",ROUND(N298*VATRate,2),0))</f>
        <v/>
      </c>
      <c r="P298" s="31">
        <f>IF(N298="","",N298+O298)</f>
        <v/>
      </c>
    </row>
    <row r="299">
      <c r="A299" s="26" t="n"/>
      <c r="B299" s="27">
        <f>IF(A299="","",IF(OR(A299&lt;MIN(Lists!$C$4:$C$15),A299&gt;MAX(Lists!$D$4:$D$15)),"No period",INDEX(Lists!$B$4:$B$15,MATCH(A299,Lists!$C$4:$C$15,1))))</f>
        <v/>
      </c>
      <c r="C299" s="28">
        <f>IF(B299="","",IFERROR(INDEX(Lists!$A$4:$A$15,MATCH(B299,Lists!$B$4:$B$15,0)),0))</f>
        <v/>
      </c>
      <c r="D299" s="25" t="n"/>
      <c r="E299" s="24" t="n"/>
      <c r="F299" s="27">
        <f>IF(E299="","",IFERROR(INDEX(Lists!$H$4:$H$40,MATCH(E299,Lists!$F$4:$F$40,0)),"UNMAPPED"))</f>
        <v/>
      </c>
      <c r="G299" s="25" t="n"/>
      <c r="H299" s="25" t="n"/>
      <c r="I299" s="25" t="n"/>
      <c r="J299" s="25" t="n"/>
      <c r="K299" s="25" t="n"/>
      <c r="L299" s="29" t="n"/>
      <c r="M299" s="25" t="n"/>
      <c r="N299" s="30" t="n"/>
      <c r="O299" s="31">
        <f>IF(N299="","",IF(G299="Revenue",ROUND(N299*VATRate,2),0))</f>
        <v/>
      </c>
      <c r="P299" s="31">
        <f>IF(N299="","",N299+O299)</f>
        <v/>
      </c>
    </row>
    <row r="300">
      <c r="A300" s="26" t="n"/>
      <c r="B300" s="27">
        <f>IF(A300="","",IF(OR(A300&lt;MIN(Lists!$C$4:$C$15),A300&gt;MAX(Lists!$D$4:$D$15)),"No period",INDEX(Lists!$B$4:$B$15,MATCH(A300,Lists!$C$4:$C$15,1))))</f>
        <v/>
      </c>
      <c r="C300" s="28">
        <f>IF(B300="","",IFERROR(INDEX(Lists!$A$4:$A$15,MATCH(B300,Lists!$B$4:$B$15,0)),0))</f>
        <v/>
      </c>
      <c r="D300" s="25" t="n"/>
      <c r="E300" s="24" t="n"/>
      <c r="F300" s="27">
        <f>IF(E300="","",IFERROR(INDEX(Lists!$H$4:$H$40,MATCH(E300,Lists!$F$4:$F$40,0)),"UNMAPPED"))</f>
        <v/>
      </c>
      <c r="G300" s="25" t="n"/>
      <c r="H300" s="25" t="n"/>
      <c r="I300" s="25" t="n"/>
      <c r="J300" s="25" t="n"/>
      <c r="K300" s="25" t="n"/>
      <c r="L300" s="29" t="n"/>
      <c r="M300" s="25" t="n"/>
      <c r="N300" s="30" t="n"/>
      <c r="O300" s="31">
        <f>IF(N300="","",IF(G300="Revenue",ROUND(N300*VATRate,2),0))</f>
        <v/>
      </c>
      <c r="P300" s="31">
        <f>IF(N300="","",N300+O300)</f>
        <v/>
      </c>
    </row>
    <row r="301">
      <c r="A301" s="26" t="n"/>
      <c r="B301" s="27">
        <f>IF(A301="","",IF(OR(A301&lt;MIN(Lists!$C$4:$C$15),A301&gt;MAX(Lists!$D$4:$D$15)),"No period",INDEX(Lists!$B$4:$B$15,MATCH(A301,Lists!$C$4:$C$15,1))))</f>
        <v/>
      </c>
      <c r="C301" s="28">
        <f>IF(B301="","",IFERROR(INDEX(Lists!$A$4:$A$15,MATCH(B301,Lists!$B$4:$B$15,0)),0))</f>
        <v/>
      </c>
      <c r="D301" s="25" t="n"/>
      <c r="E301" s="24" t="n"/>
      <c r="F301" s="27">
        <f>IF(E301="","",IFERROR(INDEX(Lists!$H$4:$H$40,MATCH(E301,Lists!$F$4:$F$40,0)),"UNMAPPED"))</f>
        <v/>
      </c>
      <c r="G301" s="25" t="n"/>
      <c r="H301" s="25" t="n"/>
      <c r="I301" s="25" t="n"/>
      <c r="J301" s="25" t="n"/>
      <c r="K301" s="25" t="n"/>
      <c r="L301" s="29" t="n"/>
      <c r="M301" s="25" t="n"/>
      <c r="N301" s="30" t="n"/>
      <c r="O301" s="31">
        <f>IF(N301="","",IF(G301="Revenue",ROUND(N301*VATRate,2),0))</f>
        <v/>
      </c>
      <c r="P301" s="31">
        <f>IF(N301="","",N301+O301)</f>
        <v/>
      </c>
    </row>
    <row r="302">
      <c r="A302" s="26" t="n"/>
      <c r="B302" s="27">
        <f>IF(A302="","",IF(OR(A302&lt;MIN(Lists!$C$4:$C$15),A302&gt;MAX(Lists!$D$4:$D$15)),"No period",INDEX(Lists!$B$4:$B$15,MATCH(A302,Lists!$C$4:$C$15,1))))</f>
        <v/>
      </c>
      <c r="C302" s="28">
        <f>IF(B302="","",IFERROR(INDEX(Lists!$A$4:$A$15,MATCH(B302,Lists!$B$4:$B$15,0)),0))</f>
        <v/>
      </c>
      <c r="D302" s="25" t="n"/>
      <c r="E302" s="24" t="n"/>
      <c r="F302" s="27">
        <f>IF(E302="","",IFERROR(INDEX(Lists!$H$4:$H$40,MATCH(E302,Lists!$F$4:$F$40,0)),"UNMAPPED"))</f>
        <v/>
      </c>
      <c r="G302" s="25" t="n"/>
      <c r="H302" s="25" t="n"/>
      <c r="I302" s="25" t="n"/>
      <c r="J302" s="25" t="n"/>
      <c r="K302" s="25" t="n"/>
      <c r="L302" s="29" t="n"/>
      <c r="M302" s="25" t="n"/>
      <c r="N302" s="30" t="n"/>
      <c r="O302" s="31">
        <f>IF(N302="","",IF(G302="Revenue",ROUND(N302*VATRate,2),0))</f>
        <v/>
      </c>
      <c r="P302" s="31">
        <f>IF(N302="","",N302+O302)</f>
        <v/>
      </c>
    </row>
    <row r="303">
      <c r="A303" s="26" t="n"/>
      <c r="B303" s="27">
        <f>IF(A303="","",IF(OR(A303&lt;MIN(Lists!$C$4:$C$15),A303&gt;MAX(Lists!$D$4:$D$15)),"No period",INDEX(Lists!$B$4:$B$15,MATCH(A303,Lists!$C$4:$C$15,1))))</f>
        <v/>
      </c>
      <c r="C303" s="28">
        <f>IF(B303="","",IFERROR(INDEX(Lists!$A$4:$A$15,MATCH(B303,Lists!$B$4:$B$15,0)),0))</f>
        <v/>
      </c>
      <c r="D303" s="25" t="n"/>
      <c r="E303" s="24" t="n"/>
      <c r="F303" s="27">
        <f>IF(E303="","",IFERROR(INDEX(Lists!$H$4:$H$40,MATCH(E303,Lists!$F$4:$F$40,0)),"UNMAPPED"))</f>
        <v/>
      </c>
      <c r="G303" s="25" t="n"/>
      <c r="H303" s="25" t="n"/>
      <c r="I303" s="25" t="n"/>
      <c r="J303" s="25" t="n"/>
      <c r="K303" s="25" t="n"/>
      <c r="L303" s="29" t="n"/>
      <c r="M303" s="25" t="n"/>
      <c r="N303" s="30" t="n"/>
      <c r="O303" s="31">
        <f>IF(N303="","",IF(G303="Revenue",ROUND(N303*VATRate,2),0))</f>
        <v/>
      </c>
      <c r="P303" s="31">
        <f>IF(N303="","",N303+O303)</f>
        <v/>
      </c>
    </row>
    <row r="304">
      <c r="A304" s="26" t="n"/>
      <c r="B304" s="27">
        <f>IF(A304="","",IF(OR(A304&lt;MIN(Lists!$C$4:$C$15),A304&gt;MAX(Lists!$D$4:$D$15)),"No period",INDEX(Lists!$B$4:$B$15,MATCH(A304,Lists!$C$4:$C$15,1))))</f>
        <v/>
      </c>
      <c r="C304" s="28">
        <f>IF(B304="","",IFERROR(INDEX(Lists!$A$4:$A$15,MATCH(B304,Lists!$B$4:$B$15,0)),0))</f>
        <v/>
      </c>
      <c r="D304" s="25" t="n"/>
      <c r="E304" s="24" t="n"/>
      <c r="F304" s="27">
        <f>IF(E304="","",IFERROR(INDEX(Lists!$H$4:$H$40,MATCH(E304,Lists!$F$4:$F$40,0)),"UNMAPPED"))</f>
        <v/>
      </c>
      <c r="G304" s="25" t="n"/>
      <c r="H304" s="25" t="n"/>
      <c r="I304" s="25" t="n"/>
      <c r="J304" s="25" t="n"/>
      <c r="K304" s="25" t="n"/>
      <c r="L304" s="29" t="n"/>
      <c r="M304" s="25" t="n"/>
      <c r="N304" s="30" t="n"/>
      <c r="O304" s="31">
        <f>IF(N304="","",IF(G304="Revenue",ROUND(N304*VATRate,2),0))</f>
        <v/>
      </c>
      <c r="P304" s="31">
        <f>IF(N304="","",N304+O304)</f>
        <v/>
      </c>
    </row>
    <row r="305">
      <c r="A305" s="26" t="n"/>
      <c r="B305" s="27">
        <f>IF(A305="","",IF(OR(A305&lt;MIN(Lists!$C$4:$C$15),A305&gt;MAX(Lists!$D$4:$D$15)),"No period",INDEX(Lists!$B$4:$B$15,MATCH(A305,Lists!$C$4:$C$15,1))))</f>
        <v/>
      </c>
      <c r="C305" s="28">
        <f>IF(B305="","",IFERROR(INDEX(Lists!$A$4:$A$15,MATCH(B305,Lists!$B$4:$B$15,0)),0))</f>
        <v/>
      </c>
      <c r="D305" s="25" t="n"/>
      <c r="E305" s="24" t="n"/>
      <c r="F305" s="27">
        <f>IF(E305="","",IFERROR(INDEX(Lists!$H$4:$H$40,MATCH(E305,Lists!$F$4:$F$40,0)),"UNMAPPED"))</f>
        <v/>
      </c>
      <c r="G305" s="25" t="n"/>
      <c r="H305" s="25" t="n"/>
      <c r="I305" s="25" t="n"/>
      <c r="J305" s="25" t="n"/>
      <c r="K305" s="25" t="n"/>
      <c r="L305" s="29" t="n"/>
      <c r="M305" s="25" t="n"/>
      <c r="N305" s="30" t="n"/>
      <c r="O305" s="31">
        <f>IF(N305="","",IF(G305="Revenue",ROUND(N305*VATRate,2),0))</f>
        <v/>
      </c>
      <c r="P305" s="31">
        <f>IF(N305="","",N305+O305)</f>
        <v/>
      </c>
    </row>
    <row r="306">
      <c r="A306" s="26" t="n"/>
      <c r="B306" s="27">
        <f>IF(A306="","",IF(OR(A306&lt;MIN(Lists!$C$4:$C$15),A306&gt;MAX(Lists!$D$4:$D$15)),"No period",INDEX(Lists!$B$4:$B$15,MATCH(A306,Lists!$C$4:$C$15,1))))</f>
        <v/>
      </c>
      <c r="C306" s="28">
        <f>IF(B306="","",IFERROR(INDEX(Lists!$A$4:$A$15,MATCH(B306,Lists!$B$4:$B$15,0)),0))</f>
        <v/>
      </c>
      <c r="D306" s="25" t="n"/>
      <c r="E306" s="24" t="n"/>
      <c r="F306" s="27">
        <f>IF(E306="","",IFERROR(INDEX(Lists!$H$4:$H$40,MATCH(E306,Lists!$F$4:$F$40,0)),"UNMAPPED"))</f>
        <v/>
      </c>
      <c r="G306" s="25" t="n"/>
      <c r="H306" s="25" t="n"/>
      <c r="I306" s="25" t="n"/>
      <c r="J306" s="25" t="n"/>
      <c r="K306" s="25" t="n"/>
      <c r="L306" s="29" t="n"/>
      <c r="M306" s="25" t="n"/>
      <c r="N306" s="30" t="n"/>
      <c r="O306" s="31">
        <f>IF(N306="","",IF(G306="Revenue",ROUND(N306*VATRate,2),0))</f>
        <v/>
      </c>
      <c r="P306" s="31">
        <f>IF(N306="","",N306+O306)</f>
        <v/>
      </c>
    </row>
    <row r="307">
      <c r="A307" s="26" t="n"/>
      <c r="B307" s="27">
        <f>IF(A307="","",IF(OR(A307&lt;MIN(Lists!$C$4:$C$15),A307&gt;MAX(Lists!$D$4:$D$15)),"No period",INDEX(Lists!$B$4:$B$15,MATCH(A307,Lists!$C$4:$C$15,1))))</f>
        <v/>
      </c>
      <c r="C307" s="28">
        <f>IF(B307="","",IFERROR(INDEX(Lists!$A$4:$A$15,MATCH(B307,Lists!$B$4:$B$15,0)),0))</f>
        <v/>
      </c>
      <c r="D307" s="25" t="n"/>
      <c r="E307" s="24" t="n"/>
      <c r="F307" s="27">
        <f>IF(E307="","",IFERROR(INDEX(Lists!$H$4:$H$40,MATCH(E307,Lists!$F$4:$F$40,0)),"UNMAPPED"))</f>
        <v/>
      </c>
      <c r="G307" s="25" t="n"/>
      <c r="H307" s="25" t="n"/>
      <c r="I307" s="25" t="n"/>
      <c r="J307" s="25" t="n"/>
      <c r="K307" s="25" t="n"/>
      <c r="L307" s="29" t="n"/>
      <c r="M307" s="25" t="n"/>
      <c r="N307" s="30" t="n"/>
      <c r="O307" s="31">
        <f>IF(N307="","",IF(G307="Revenue",ROUND(N307*VATRate,2),0))</f>
        <v/>
      </c>
      <c r="P307" s="31">
        <f>IF(N307="","",N307+O307)</f>
        <v/>
      </c>
    </row>
    <row r="308">
      <c r="A308" s="26" t="n"/>
      <c r="B308" s="27">
        <f>IF(A308="","",IF(OR(A308&lt;MIN(Lists!$C$4:$C$15),A308&gt;MAX(Lists!$D$4:$D$15)),"No period",INDEX(Lists!$B$4:$B$15,MATCH(A308,Lists!$C$4:$C$15,1))))</f>
        <v/>
      </c>
      <c r="C308" s="28">
        <f>IF(B308="","",IFERROR(INDEX(Lists!$A$4:$A$15,MATCH(B308,Lists!$B$4:$B$15,0)),0))</f>
        <v/>
      </c>
      <c r="D308" s="25" t="n"/>
      <c r="E308" s="24" t="n"/>
      <c r="F308" s="27">
        <f>IF(E308="","",IFERROR(INDEX(Lists!$H$4:$H$40,MATCH(E308,Lists!$F$4:$F$40,0)),"UNMAPPED"))</f>
        <v/>
      </c>
      <c r="G308" s="25" t="n"/>
      <c r="H308" s="25" t="n"/>
      <c r="I308" s="25" t="n"/>
      <c r="J308" s="25" t="n"/>
      <c r="K308" s="25" t="n"/>
      <c r="L308" s="29" t="n"/>
      <c r="M308" s="25" t="n"/>
      <c r="N308" s="30" t="n"/>
      <c r="O308" s="31">
        <f>IF(N308="","",IF(G308="Revenue",ROUND(N308*VATRate,2),0))</f>
        <v/>
      </c>
      <c r="P308" s="31">
        <f>IF(N308="","",N308+O308)</f>
        <v/>
      </c>
    </row>
    <row r="309">
      <c r="A309" s="26" t="n"/>
      <c r="B309" s="27">
        <f>IF(A309="","",IF(OR(A309&lt;MIN(Lists!$C$4:$C$15),A309&gt;MAX(Lists!$D$4:$D$15)),"No period",INDEX(Lists!$B$4:$B$15,MATCH(A309,Lists!$C$4:$C$15,1))))</f>
        <v/>
      </c>
      <c r="C309" s="28">
        <f>IF(B309="","",IFERROR(INDEX(Lists!$A$4:$A$15,MATCH(B309,Lists!$B$4:$B$15,0)),0))</f>
        <v/>
      </c>
      <c r="D309" s="25" t="n"/>
      <c r="E309" s="24" t="n"/>
      <c r="F309" s="27">
        <f>IF(E309="","",IFERROR(INDEX(Lists!$H$4:$H$40,MATCH(E309,Lists!$F$4:$F$40,0)),"UNMAPPED"))</f>
        <v/>
      </c>
      <c r="G309" s="25" t="n"/>
      <c r="H309" s="25" t="n"/>
      <c r="I309" s="25" t="n"/>
      <c r="J309" s="25" t="n"/>
      <c r="K309" s="25" t="n"/>
      <c r="L309" s="29" t="n"/>
      <c r="M309" s="25" t="n"/>
      <c r="N309" s="30" t="n"/>
      <c r="O309" s="31">
        <f>IF(N309="","",IF(G309="Revenue",ROUND(N309*VATRate,2),0))</f>
        <v/>
      </c>
      <c r="P309" s="31">
        <f>IF(N309="","",N309+O309)</f>
        <v/>
      </c>
    </row>
    <row r="310">
      <c r="A310" s="26" t="n"/>
      <c r="B310" s="27">
        <f>IF(A310="","",IF(OR(A310&lt;MIN(Lists!$C$4:$C$15),A310&gt;MAX(Lists!$D$4:$D$15)),"No period",INDEX(Lists!$B$4:$B$15,MATCH(A310,Lists!$C$4:$C$15,1))))</f>
        <v/>
      </c>
      <c r="C310" s="28">
        <f>IF(B310="","",IFERROR(INDEX(Lists!$A$4:$A$15,MATCH(B310,Lists!$B$4:$B$15,0)),0))</f>
        <v/>
      </c>
      <c r="D310" s="25" t="n"/>
      <c r="E310" s="24" t="n"/>
      <c r="F310" s="27">
        <f>IF(E310="","",IFERROR(INDEX(Lists!$H$4:$H$40,MATCH(E310,Lists!$F$4:$F$40,0)),"UNMAPPED"))</f>
        <v/>
      </c>
      <c r="G310" s="25" t="n"/>
      <c r="H310" s="25" t="n"/>
      <c r="I310" s="25" t="n"/>
      <c r="J310" s="25" t="n"/>
      <c r="K310" s="25" t="n"/>
      <c r="L310" s="29" t="n"/>
      <c r="M310" s="25" t="n"/>
      <c r="N310" s="30" t="n"/>
      <c r="O310" s="31">
        <f>IF(N310="","",IF(G310="Revenue",ROUND(N310*VATRate,2),0))</f>
        <v/>
      </c>
      <c r="P310" s="31">
        <f>IF(N310="","",N310+O310)</f>
        <v/>
      </c>
    </row>
    <row r="311">
      <c r="A311" s="26" t="n"/>
      <c r="B311" s="27">
        <f>IF(A311="","",IF(OR(A311&lt;MIN(Lists!$C$4:$C$15),A311&gt;MAX(Lists!$D$4:$D$15)),"No period",INDEX(Lists!$B$4:$B$15,MATCH(A311,Lists!$C$4:$C$15,1))))</f>
        <v/>
      </c>
      <c r="C311" s="28">
        <f>IF(B311="","",IFERROR(INDEX(Lists!$A$4:$A$15,MATCH(B311,Lists!$B$4:$B$15,0)),0))</f>
        <v/>
      </c>
      <c r="D311" s="25" t="n"/>
      <c r="E311" s="24" t="n"/>
      <c r="F311" s="27">
        <f>IF(E311="","",IFERROR(INDEX(Lists!$H$4:$H$40,MATCH(E311,Lists!$F$4:$F$40,0)),"UNMAPPED"))</f>
        <v/>
      </c>
      <c r="G311" s="25" t="n"/>
      <c r="H311" s="25" t="n"/>
      <c r="I311" s="25" t="n"/>
      <c r="J311" s="25" t="n"/>
      <c r="K311" s="25" t="n"/>
      <c r="L311" s="29" t="n"/>
      <c r="M311" s="25" t="n"/>
      <c r="N311" s="30" t="n"/>
      <c r="O311" s="31">
        <f>IF(N311="","",IF(G311="Revenue",ROUND(N311*VATRate,2),0))</f>
        <v/>
      </c>
      <c r="P311" s="31">
        <f>IF(N311="","",N311+O311)</f>
        <v/>
      </c>
    </row>
    <row r="312">
      <c r="A312" s="26" t="n"/>
      <c r="B312" s="27">
        <f>IF(A312="","",IF(OR(A312&lt;MIN(Lists!$C$4:$C$15),A312&gt;MAX(Lists!$D$4:$D$15)),"No period",INDEX(Lists!$B$4:$B$15,MATCH(A312,Lists!$C$4:$C$15,1))))</f>
        <v/>
      </c>
      <c r="C312" s="28">
        <f>IF(B312="","",IFERROR(INDEX(Lists!$A$4:$A$15,MATCH(B312,Lists!$B$4:$B$15,0)),0))</f>
        <v/>
      </c>
      <c r="D312" s="25" t="n"/>
      <c r="E312" s="24" t="n"/>
      <c r="F312" s="27">
        <f>IF(E312="","",IFERROR(INDEX(Lists!$H$4:$H$40,MATCH(E312,Lists!$F$4:$F$40,0)),"UNMAPPED"))</f>
        <v/>
      </c>
      <c r="G312" s="25" t="n"/>
      <c r="H312" s="25" t="n"/>
      <c r="I312" s="25" t="n"/>
      <c r="J312" s="25" t="n"/>
      <c r="K312" s="25" t="n"/>
      <c r="L312" s="29" t="n"/>
      <c r="M312" s="25" t="n"/>
      <c r="N312" s="30" t="n"/>
      <c r="O312" s="31">
        <f>IF(N312="","",IF(G312="Revenue",ROUND(N312*VATRate,2),0))</f>
        <v/>
      </c>
      <c r="P312" s="31">
        <f>IF(N312="","",N312+O312)</f>
        <v/>
      </c>
    </row>
    <row r="313">
      <c r="A313" s="26" t="n"/>
      <c r="B313" s="27">
        <f>IF(A313="","",IF(OR(A313&lt;MIN(Lists!$C$4:$C$15),A313&gt;MAX(Lists!$D$4:$D$15)),"No period",INDEX(Lists!$B$4:$B$15,MATCH(A313,Lists!$C$4:$C$15,1))))</f>
        <v/>
      </c>
      <c r="C313" s="28">
        <f>IF(B313="","",IFERROR(INDEX(Lists!$A$4:$A$15,MATCH(B313,Lists!$B$4:$B$15,0)),0))</f>
        <v/>
      </c>
      <c r="D313" s="25" t="n"/>
      <c r="E313" s="24" t="n"/>
      <c r="F313" s="27">
        <f>IF(E313="","",IFERROR(INDEX(Lists!$H$4:$H$40,MATCH(E313,Lists!$F$4:$F$40,0)),"UNMAPPED"))</f>
        <v/>
      </c>
      <c r="G313" s="25" t="n"/>
      <c r="H313" s="25" t="n"/>
      <c r="I313" s="25" t="n"/>
      <c r="J313" s="25" t="n"/>
      <c r="K313" s="25" t="n"/>
      <c r="L313" s="29" t="n"/>
      <c r="M313" s="25" t="n"/>
      <c r="N313" s="30" t="n"/>
      <c r="O313" s="31">
        <f>IF(N313="","",IF(G313="Revenue",ROUND(N313*VATRate,2),0))</f>
        <v/>
      </c>
      <c r="P313" s="31">
        <f>IF(N313="","",N313+O313)</f>
        <v/>
      </c>
    </row>
    <row r="314">
      <c r="A314" s="26" t="n"/>
      <c r="B314" s="27">
        <f>IF(A314="","",IF(OR(A314&lt;MIN(Lists!$C$4:$C$15),A314&gt;MAX(Lists!$D$4:$D$15)),"No period",INDEX(Lists!$B$4:$B$15,MATCH(A314,Lists!$C$4:$C$15,1))))</f>
        <v/>
      </c>
      <c r="C314" s="28">
        <f>IF(B314="","",IFERROR(INDEX(Lists!$A$4:$A$15,MATCH(B314,Lists!$B$4:$B$15,0)),0))</f>
        <v/>
      </c>
      <c r="D314" s="25" t="n"/>
      <c r="E314" s="24" t="n"/>
      <c r="F314" s="27">
        <f>IF(E314="","",IFERROR(INDEX(Lists!$H$4:$H$40,MATCH(E314,Lists!$F$4:$F$40,0)),"UNMAPPED"))</f>
        <v/>
      </c>
      <c r="G314" s="25" t="n"/>
      <c r="H314" s="25" t="n"/>
      <c r="I314" s="25" t="n"/>
      <c r="J314" s="25" t="n"/>
      <c r="K314" s="25" t="n"/>
      <c r="L314" s="29" t="n"/>
      <c r="M314" s="25" t="n"/>
      <c r="N314" s="30" t="n"/>
      <c r="O314" s="31">
        <f>IF(N314="","",IF(G314="Revenue",ROUND(N314*VATRate,2),0))</f>
        <v/>
      </c>
      <c r="P314" s="31">
        <f>IF(N314="","",N314+O314)</f>
        <v/>
      </c>
    </row>
    <row r="315">
      <c r="A315" s="26" t="n"/>
      <c r="B315" s="27">
        <f>IF(A315="","",IF(OR(A315&lt;MIN(Lists!$C$4:$C$15),A315&gt;MAX(Lists!$D$4:$D$15)),"No period",INDEX(Lists!$B$4:$B$15,MATCH(A315,Lists!$C$4:$C$15,1))))</f>
        <v/>
      </c>
      <c r="C315" s="28">
        <f>IF(B315="","",IFERROR(INDEX(Lists!$A$4:$A$15,MATCH(B315,Lists!$B$4:$B$15,0)),0))</f>
        <v/>
      </c>
      <c r="D315" s="25" t="n"/>
      <c r="E315" s="24" t="n"/>
      <c r="F315" s="27">
        <f>IF(E315="","",IFERROR(INDEX(Lists!$H$4:$H$40,MATCH(E315,Lists!$F$4:$F$40,0)),"UNMAPPED"))</f>
        <v/>
      </c>
      <c r="G315" s="25" t="n"/>
      <c r="H315" s="25" t="n"/>
      <c r="I315" s="25" t="n"/>
      <c r="J315" s="25" t="n"/>
      <c r="K315" s="25" t="n"/>
      <c r="L315" s="29" t="n"/>
      <c r="M315" s="25" t="n"/>
      <c r="N315" s="30" t="n"/>
      <c r="O315" s="31">
        <f>IF(N315="","",IF(G315="Revenue",ROUND(N315*VATRate,2),0))</f>
        <v/>
      </c>
      <c r="P315" s="31">
        <f>IF(N315="","",N315+O315)</f>
        <v/>
      </c>
    </row>
    <row r="316">
      <c r="A316" s="26" t="n"/>
      <c r="B316" s="27">
        <f>IF(A316="","",IF(OR(A316&lt;MIN(Lists!$C$4:$C$15),A316&gt;MAX(Lists!$D$4:$D$15)),"No period",INDEX(Lists!$B$4:$B$15,MATCH(A316,Lists!$C$4:$C$15,1))))</f>
        <v/>
      </c>
      <c r="C316" s="28">
        <f>IF(B316="","",IFERROR(INDEX(Lists!$A$4:$A$15,MATCH(B316,Lists!$B$4:$B$15,0)),0))</f>
        <v/>
      </c>
      <c r="D316" s="25" t="n"/>
      <c r="E316" s="24" t="n"/>
      <c r="F316" s="27">
        <f>IF(E316="","",IFERROR(INDEX(Lists!$H$4:$H$40,MATCH(E316,Lists!$F$4:$F$40,0)),"UNMAPPED"))</f>
        <v/>
      </c>
      <c r="G316" s="25" t="n"/>
      <c r="H316" s="25" t="n"/>
      <c r="I316" s="25" t="n"/>
      <c r="J316" s="25" t="n"/>
      <c r="K316" s="25" t="n"/>
      <c r="L316" s="29" t="n"/>
      <c r="M316" s="25" t="n"/>
      <c r="N316" s="30" t="n"/>
      <c r="O316" s="31">
        <f>IF(N316="","",IF(G316="Revenue",ROUND(N316*VATRate,2),0))</f>
        <v/>
      </c>
      <c r="P316" s="31">
        <f>IF(N316="","",N316+O316)</f>
        <v/>
      </c>
    </row>
    <row r="317">
      <c r="A317" s="26" t="n"/>
      <c r="B317" s="27">
        <f>IF(A317="","",IF(OR(A317&lt;MIN(Lists!$C$4:$C$15),A317&gt;MAX(Lists!$D$4:$D$15)),"No period",INDEX(Lists!$B$4:$B$15,MATCH(A317,Lists!$C$4:$C$15,1))))</f>
        <v/>
      </c>
      <c r="C317" s="28">
        <f>IF(B317="","",IFERROR(INDEX(Lists!$A$4:$A$15,MATCH(B317,Lists!$B$4:$B$15,0)),0))</f>
        <v/>
      </c>
      <c r="D317" s="25" t="n"/>
      <c r="E317" s="24" t="n"/>
      <c r="F317" s="27">
        <f>IF(E317="","",IFERROR(INDEX(Lists!$H$4:$H$40,MATCH(E317,Lists!$F$4:$F$40,0)),"UNMAPPED"))</f>
        <v/>
      </c>
      <c r="G317" s="25" t="n"/>
      <c r="H317" s="25" t="n"/>
      <c r="I317" s="25" t="n"/>
      <c r="J317" s="25" t="n"/>
      <c r="K317" s="25" t="n"/>
      <c r="L317" s="29" t="n"/>
      <c r="M317" s="25" t="n"/>
      <c r="N317" s="30" t="n"/>
      <c r="O317" s="31">
        <f>IF(N317="","",IF(G317="Revenue",ROUND(N317*VATRate,2),0))</f>
        <v/>
      </c>
      <c r="P317" s="31">
        <f>IF(N317="","",N317+O317)</f>
        <v/>
      </c>
    </row>
    <row r="318">
      <c r="A318" s="26" t="n"/>
      <c r="B318" s="27">
        <f>IF(A318="","",IF(OR(A318&lt;MIN(Lists!$C$4:$C$15),A318&gt;MAX(Lists!$D$4:$D$15)),"No period",INDEX(Lists!$B$4:$B$15,MATCH(A318,Lists!$C$4:$C$15,1))))</f>
        <v/>
      </c>
      <c r="C318" s="28">
        <f>IF(B318="","",IFERROR(INDEX(Lists!$A$4:$A$15,MATCH(B318,Lists!$B$4:$B$15,0)),0))</f>
        <v/>
      </c>
      <c r="D318" s="25" t="n"/>
      <c r="E318" s="24" t="n"/>
      <c r="F318" s="27">
        <f>IF(E318="","",IFERROR(INDEX(Lists!$H$4:$H$40,MATCH(E318,Lists!$F$4:$F$40,0)),"UNMAPPED"))</f>
        <v/>
      </c>
      <c r="G318" s="25" t="n"/>
      <c r="H318" s="25" t="n"/>
      <c r="I318" s="25" t="n"/>
      <c r="J318" s="25" t="n"/>
      <c r="K318" s="25" t="n"/>
      <c r="L318" s="29" t="n"/>
      <c r="M318" s="25" t="n"/>
      <c r="N318" s="30" t="n"/>
      <c r="O318" s="31">
        <f>IF(N318="","",IF(G318="Revenue",ROUND(N318*VATRate,2),0))</f>
        <v/>
      </c>
      <c r="P318" s="31">
        <f>IF(N318="","",N318+O318)</f>
        <v/>
      </c>
    </row>
    <row r="319">
      <c r="A319" s="26" t="n"/>
      <c r="B319" s="27">
        <f>IF(A319="","",IF(OR(A319&lt;MIN(Lists!$C$4:$C$15),A319&gt;MAX(Lists!$D$4:$D$15)),"No period",INDEX(Lists!$B$4:$B$15,MATCH(A319,Lists!$C$4:$C$15,1))))</f>
        <v/>
      </c>
      <c r="C319" s="28">
        <f>IF(B319="","",IFERROR(INDEX(Lists!$A$4:$A$15,MATCH(B319,Lists!$B$4:$B$15,0)),0))</f>
        <v/>
      </c>
      <c r="D319" s="25" t="n"/>
      <c r="E319" s="24" t="n"/>
      <c r="F319" s="27">
        <f>IF(E319="","",IFERROR(INDEX(Lists!$H$4:$H$40,MATCH(E319,Lists!$F$4:$F$40,0)),"UNMAPPED"))</f>
        <v/>
      </c>
      <c r="G319" s="25" t="n"/>
      <c r="H319" s="25" t="n"/>
      <c r="I319" s="25" t="n"/>
      <c r="J319" s="25" t="n"/>
      <c r="K319" s="25" t="n"/>
      <c r="L319" s="29" t="n"/>
      <c r="M319" s="25" t="n"/>
      <c r="N319" s="30" t="n"/>
      <c r="O319" s="31">
        <f>IF(N319="","",IF(G319="Revenue",ROUND(N319*VATRate,2),0))</f>
        <v/>
      </c>
      <c r="P319" s="31">
        <f>IF(N319="","",N319+O319)</f>
        <v/>
      </c>
    </row>
    <row r="320">
      <c r="A320" s="26" t="n"/>
      <c r="B320" s="27">
        <f>IF(A320="","",IF(OR(A320&lt;MIN(Lists!$C$4:$C$15),A320&gt;MAX(Lists!$D$4:$D$15)),"No period",INDEX(Lists!$B$4:$B$15,MATCH(A320,Lists!$C$4:$C$15,1))))</f>
        <v/>
      </c>
      <c r="C320" s="28">
        <f>IF(B320="","",IFERROR(INDEX(Lists!$A$4:$A$15,MATCH(B320,Lists!$B$4:$B$15,0)),0))</f>
        <v/>
      </c>
      <c r="D320" s="25" t="n"/>
      <c r="E320" s="24" t="n"/>
      <c r="F320" s="27">
        <f>IF(E320="","",IFERROR(INDEX(Lists!$H$4:$H$40,MATCH(E320,Lists!$F$4:$F$40,0)),"UNMAPPED"))</f>
        <v/>
      </c>
      <c r="G320" s="25" t="n"/>
      <c r="H320" s="25" t="n"/>
      <c r="I320" s="25" t="n"/>
      <c r="J320" s="25" t="n"/>
      <c r="K320" s="25" t="n"/>
      <c r="L320" s="29" t="n"/>
      <c r="M320" s="25" t="n"/>
      <c r="N320" s="30" t="n"/>
      <c r="O320" s="31">
        <f>IF(N320="","",IF(G320="Revenue",ROUND(N320*VATRate,2),0))</f>
        <v/>
      </c>
      <c r="P320" s="31">
        <f>IF(N320="","",N320+O320)</f>
        <v/>
      </c>
    </row>
    <row r="321">
      <c r="A321" s="26" t="n"/>
      <c r="B321" s="27">
        <f>IF(A321="","",IF(OR(A321&lt;MIN(Lists!$C$4:$C$15),A321&gt;MAX(Lists!$D$4:$D$15)),"No period",INDEX(Lists!$B$4:$B$15,MATCH(A321,Lists!$C$4:$C$15,1))))</f>
        <v/>
      </c>
      <c r="C321" s="28">
        <f>IF(B321="","",IFERROR(INDEX(Lists!$A$4:$A$15,MATCH(B321,Lists!$B$4:$B$15,0)),0))</f>
        <v/>
      </c>
      <c r="D321" s="25" t="n"/>
      <c r="E321" s="24" t="n"/>
      <c r="F321" s="27">
        <f>IF(E321="","",IFERROR(INDEX(Lists!$H$4:$H$40,MATCH(E321,Lists!$F$4:$F$40,0)),"UNMAPPED"))</f>
        <v/>
      </c>
      <c r="G321" s="25" t="n"/>
      <c r="H321" s="25" t="n"/>
      <c r="I321" s="25" t="n"/>
      <c r="J321" s="25" t="n"/>
      <c r="K321" s="25" t="n"/>
      <c r="L321" s="29" t="n"/>
      <c r="M321" s="25" t="n"/>
      <c r="N321" s="30" t="n"/>
      <c r="O321" s="31">
        <f>IF(N321="","",IF(G321="Revenue",ROUND(N321*VATRate,2),0))</f>
        <v/>
      </c>
      <c r="P321" s="31">
        <f>IF(N321="","",N321+O321)</f>
        <v/>
      </c>
    </row>
    <row r="322">
      <c r="A322" s="26" t="n"/>
      <c r="B322" s="27">
        <f>IF(A322="","",IF(OR(A322&lt;MIN(Lists!$C$4:$C$15),A322&gt;MAX(Lists!$D$4:$D$15)),"No period",INDEX(Lists!$B$4:$B$15,MATCH(A322,Lists!$C$4:$C$15,1))))</f>
        <v/>
      </c>
      <c r="C322" s="28">
        <f>IF(B322="","",IFERROR(INDEX(Lists!$A$4:$A$15,MATCH(B322,Lists!$B$4:$B$15,0)),0))</f>
        <v/>
      </c>
      <c r="D322" s="25" t="n"/>
      <c r="E322" s="24" t="n"/>
      <c r="F322" s="27">
        <f>IF(E322="","",IFERROR(INDEX(Lists!$H$4:$H$40,MATCH(E322,Lists!$F$4:$F$40,0)),"UNMAPPED"))</f>
        <v/>
      </c>
      <c r="G322" s="25" t="n"/>
      <c r="H322" s="25" t="n"/>
      <c r="I322" s="25" t="n"/>
      <c r="J322" s="25" t="n"/>
      <c r="K322" s="25" t="n"/>
      <c r="L322" s="29" t="n"/>
      <c r="M322" s="25" t="n"/>
      <c r="N322" s="30" t="n"/>
      <c r="O322" s="31">
        <f>IF(N322="","",IF(G322="Revenue",ROUND(N322*VATRate,2),0))</f>
        <v/>
      </c>
      <c r="P322" s="31">
        <f>IF(N322="","",N322+O322)</f>
        <v/>
      </c>
    </row>
    <row r="323">
      <c r="A323" s="26" t="n"/>
      <c r="B323" s="27">
        <f>IF(A323="","",IF(OR(A323&lt;MIN(Lists!$C$4:$C$15),A323&gt;MAX(Lists!$D$4:$D$15)),"No period",INDEX(Lists!$B$4:$B$15,MATCH(A323,Lists!$C$4:$C$15,1))))</f>
        <v/>
      </c>
      <c r="C323" s="28">
        <f>IF(B323="","",IFERROR(INDEX(Lists!$A$4:$A$15,MATCH(B323,Lists!$B$4:$B$15,0)),0))</f>
        <v/>
      </c>
      <c r="D323" s="25" t="n"/>
      <c r="E323" s="24" t="n"/>
      <c r="F323" s="27">
        <f>IF(E323="","",IFERROR(INDEX(Lists!$H$4:$H$40,MATCH(E323,Lists!$F$4:$F$40,0)),"UNMAPPED"))</f>
        <v/>
      </c>
      <c r="G323" s="25" t="n"/>
      <c r="H323" s="25" t="n"/>
      <c r="I323" s="25" t="n"/>
      <c r="J323" s="25" t="n"/>
      <c r="K323" s="25" t="n"/>
      <c r="L323" s="29" t="n"/>
      <c r="M323" s="25" t="n"/>
      <c r="N323" s="30" t="n"/>
      <c r="O323" s="31">
        <f>IF(N323="","",IF(G323="Revenue",ROUND(N323*VATRate,2),0))</f>
        <v/>
      </c>
      <c r="P323" s="31">
        <f>IF(N323="","",N323+O323)</f>
        <v/>
      </c>
    </row>
    <row r="324">
      <c r="A324" s="26" t="n"/>
      <c r="B324" s="27">
        <f>IF(A324="","",IF(OR(A324&lt;MIN(Lists!$C$4:$C$15),A324&gt;MAX(Lists!$D$4:$D$15)),"No period",INDEX(Lists!$B$4:$B$15,MATCH(A324,Lists!$C$4:$C$15,1))))</f>
        <v/>
      </c>
      <c r="C324" s="28">
        <f>IF(B324="","",IFERROR(INDEX(Lists!$A$4:$A$15,MATCH(B324,Lists!$B$4:$B$15,0)),0))</f>
        <v/>
      </c>
      <c r="D324" s="25" t="n"/>
      <c r="E324" s="24" t="n"/>
      <c r="F324" s="27">
        <f>IF(E324="","",IFERROR(INDEX(Lists!$H$4:$H$40,MATCH(E324,Lists!$F$4:$F$40,0)),"UNMAPPED"))</f>
        <v/>
      </c>
      <c r="G324" s="25" t="n"/>
      <c r="H324" s="25" t="n"/>
      <c r="I324" s="25" t="n"/>
      <c r="J324" s="25" t="n"/>
      <c r="K324" s="25" t="n"/>
      <c r="L324" s="29" t="n"/>
      <c r="M324" s="25" t="n"/>
      <c r="N324" s="30" t="n"/>
      <c r="O324" s="31">
        <f>IF(N324="","",IF(G324="Revenue",ROUND(N324*VATRate,2),0))</f>
        <v/>
      </c>
      <c r="P324" s="31">
        <f>IF(N324="","",N324+O324)</f>
        <v/>
      </c>
    </row>
    <row r="325">
      <c r="A325" s="26" t="n"/>
      <c r="B325" s="27">
        <f>IF(A325="","",IF(OR(A325&lt;MIN(Lists!$C$4:$C$15),A325&gt;MAX(Lists!$D$4:$D$15)),"No period",INDEX(Lists!$B$4:$B$15,MATCH(A325,Lists!$C$4:$C$15,1))))</f>
        <v/>
      </c>
      <c r="C325" s="28">
        <f>IF(B325="","",IFERROR(INDEX(Lists!$A$4:$A$15,MATCH(B325,Lists!$B$4:$B$15,0)),0))</f>
        <v/>
      </c>
      <c r="D325" s="25" t="n"/>
      <c r="E325" s="24" t="n"/>
      <c r="F325" s="27">
        <f>IF(E325="","",IFERROR(INDEX(Lists!$H$4:$H$40,MATCH(E325,Lists!$F$4:$F$40,0)),"UNMAPPED"))</f>
        <v/>
      </c>
      <c r="G325" s="25" t="n"/>
      <c r="H325" s="25" t="n"/>
      <c r="I325" s="25" t="n"/>
      <c r="J325" s="25" t="n"/>
      <c r="K325" s="25" t="n"/>
      <c r="L325" s="29" t="n"/>
      <c r="M325" s="25" t="n"/>
      <c r="N325" s="30" t="n"/>
      <c r="O325" s="31">
        <f>IF(N325="","",IF(G325="Revenue",ROUND(N325*VATRate,2),0))</f>
        <v/>
      </c>
      <c r="P325" s="31">
        <f>IF(N325="","",N325+O325)</f>
        <v/>
      </c>
    </row>
    <row r="326">
      <c r="A326" s="26" t="n"/>
      <c r="B326" s="27">
        <f>IF(A326="","",IF(OR(A326&lt;MIN(Lists!$C$4:$C$15),A326&gt;MAX(Lists!$D$4:$D$15)),"No period",INDEX(Lists!$B$4:$B$15,MATCH(A326,Lists!$C$4:$C$15,1))))</f>
        <v/>
      </c>
      <c r="C326" s="28">
        <f>IF(B326="","",IFERROR(INDEX(Lists!$A$4:$A$15,MATCH(B326,Lists!$B$4:$B$15,0)),0))</f>
        <v/>
      </c>
      <c r="D326" s="25" t="n"/>
      <c r="E326" s="24" t="n"/>
      <c r="F326" s="27">
        <f>IF(E326="","",IFERROR(INDEX(Lists!$H$4:$H$40,MATCH(E326,Lists!$F$4:$F$40,0)),"UNMAPPED"))</f>
        <v/>
      </c>
      <c r="G326" s="25" t="n"/>
      <c r="H326" s="25" t="n"/>
      <c r="I326" s="25" t="n"/>
      <c r="J326" s="25" t="n"/>
      <c r="K326" s="25" t="n"/>
      <c r="L326" s="29" t="n"/>
      <c r="M326" s="25" t="n"/>
      <c r="N326" s="30" t="n"/>
      <c r="O326" s="31">
        <f>IF(N326="","",IF(G326="Revenue",ROUND(N326*VATRate,2),0))</f>
        <v/>
      </c>
      <c r="P326" s="31">
        <f>IF(N326="","",N326+O326)</f>
        <v/>
      </c>
    </row>
    <row r="327">
      <c r="A327" s="26" t="n"/>
      <c r="B327" s="27">
        <f>IF(A327="","",IF(OR(A327&lt;MIN(Lists!$C$4:$C$15),A327&gt;MAX(Lists!$D$4:$D$15)),"No period",INDEX(Lists!$B$4:$B$15,MATCH(A327,Lists!$C$4:$C$15,1))))</f>
        <v/>
      </c>
      <c r="C327" s="28">
        <f>IF(B327="","",IFERROR(INDEX(Lists!$A$4:$A$15,MATCH(B327,Lists!$B$4:$B$15,0)),0))</f>
        <v/>
      </c>
      <c r="D327" s="25" t="n"/>
      <c r="E327" s="24" t="n"/>
      <c r="F327" s="27">
        <f>IF(E327="","",IFERROR(INDEX(Lists!$H$4:$H$40,MATCH(E327,Lists!$F$4:$F$40,0)),"UNMAPPED"))</f>
        <v/>
      </c>
      <c r="G327" s="25" t="n"/>
      <c r="H327" s="25" t="n"/>
      <c r="I327" s="25" t="n"/>
      <c r="J327" s="25" t="n"/>
      <c r="K327" s="25" t="n"/>
      <c r="L327" s="29" t="n"/>
      <c r="M327" s="25" t="n"/>
      <c r="N327" s="30" t="n"/>
      <c r="O327" s="31">
        <f>IF(N327="","",IF(G327="Revenue",ROUND(N327*VATRate,2),0))</f>
        <v/>
      </c>
      <c r="P327" s="31">
        <f>IF(N327="","",N327+O327)</f>
        <v/>
      </c>
    </row>
    <row r="328">
      <c r="A328" s="26" t="n"/>
      <c r="B328" s="27">
        <f>IF(A328="","",IF(OR(A328&lt;MIN(Lists!$C$4:$C$15),A328&gt;MAX(Lists!$D$4:$D$15)),"No period",INDEX(Lists!$B$4:$B$15,MATCH(A328,Lists!$C$4:$C$15,1))))</f>
        <v/>
      </c>
      <c r="C328" s="28">
        <f>IF(B328="","",IFERROR(INDEX(Lists!$A$4:$A$15,MATCH(B328,Lists!$B$4:$B$15,0)),0))</f>
        <v/>
      </c>
      <c r="D328" s="25" t="n"/>
      <c r="E328" s="24" t="n"/>
      <c r="F328" s="27">
        <f>IF(E328="","",IFERROR(INDEX(Lists!$H$4:$H$40,MATCH(E328,Lists!$F$4:$F$40,0)),"UNMAPPED"))</f>
        <v/>
      </c>
      <c r="G328" s="25" t="n"/>
      <c r="H328" s="25" t="n"/>
      <c r="I328" s="25" t="n"/>
      <c r="J328" s="25" t="n"/>
      <c r="K328" s="25" t="n"/>
      <c r="L328" s="29" t="n"/>
      <c r="M328" s="25" t="n"/>
      <c r="N328" s="30" t="n"/>
      <c r="O328" s="31">
        <f>IF(N328="","",IF(G328="Revenue",ROUND(N328*VATRate,2),0))</f>
        <v/>
      </c>
      <c r="P328" s="31">
        <f>IF(N328="","",N328+O328)</f>
        <v/>
      </c>
    </row>
    <row r="329">
      <c r="A329" s="26" t="n"/>
      <c r="B329" s="27">
        <f>IF(A329="","",IF(OR(A329&lt;MIN(Lists!$C$4:$C$15),A329&gt;MAX(Lists!$D$4:$D$15)),"No period",INDEX(Lists!$B$4:$B$15,MATCH(A329,Lists!$C$4:$C$15,1))))</f>
        <v/>
      </c>
      <c r="C329" s="28">
        <f>IF(B329="","",IFERROR(INDEX(Lists!$A$4:$A$15,MATCH(B329,Lists!$B$4:$B$15,0)),0))</f>
        <v/>
      </c>
      <c r="D329" s="25" t="n"/>
      <c r="E329" s="24" t="n"/>
      <c r="F329" s="27">
        <f>IF(E329="","",IFERROR(INDEX(Lists!$H$4:$H$40,MATCH(E329,Lists!$F$4:$F$40,0)),"UNMAPPED"))</f>
        <v/>
      </c>
      <c r="G329" s="25" t="n"/>
      <c r="H329" s="25" t="n"/>
      <c r="I329" s="25" t="n"/>
      <c r="J329" s="25" t="n"/>
      <c r="K329" s="25" t="n"/>
      <c r="L329" s="29" t="n"/>
      <c r="M329" s="25" t="n"/>
      <c r="N329" s="30" t="n"/>
      <c r="O329" s="31">
        <f>IF(N329="","",IF(G329="Revenue",ROUND(N329*VATRate,2),0))</f>
        <v/>
      </c>
      <c r="P329" s="31">
        <f>IF(N329="","",N329+O329)</f>
        <v/>
      </c>
    </row>
    <row r="330">
      <c r="A330" s="26" t="n"/>
      <c r="B330" s="27">
        <f>IF(A330="","",IF(OR(A330&lt;MIN(Lists!$C$4:$C$15),A330&gt;MAX(Lists!$D$4:$D$15)),"No period",INDEX(Lists!$B$4:$B$15,MATCH(A330,Lists!$C$4:$C$15,1))))</f>
        <v/>
      </c>
      <c r="C330" s="28">
        <f>IF(B330="","",IFERROR(INDEX(Lists!$A$4:$A$15,MATCH(B330,Lists!$B$4:$B$15,0)),0))</f>
        <v/>
      </c>
      <c r="D330" s="25" t="n"/>
      <c r="E330" s="24" t="n"/>
      <c r="F330" s="27">
        <f>IF(E330="","",IFERROR(INDEX(Lists!$H$4:$H$40,MATCH(E330,Lists!$F$4:$F$40,0)),"UNMAPPED"))</f>
        <v/>
      </c>
      <c r="G330" s="25" t="n"/>
      <c r="H330" s="25" t="n"/>
      <c r="I330" s="25" t="n"/>
      <c r="J330" s="25" t="n"/>
      <c r="K330" s="25" t="n"/>
      <c r="L330" s="29" t="n"/>
      <c r="M330" s="25" t="n"/>
      <c r="N330" s="30" t="n"/>
      <c r="O330" s="31">
        <f>IF(N330="","",IF(G330="Revenue",ROUND(N330*VATRate,2),0))</f>
        <v/>
      </c>
      <c r="P330" s="31">
        <f>IF(N330="","",N330+O330)</f>
        <v/>
      </c>
    </row>
    <row r="331">
      <c r="A331" s="26" t="n"/>
      <c r="B331" s="27">
        <f>IF(A331="","",IF(OR(A331&lt;MIN(Lists!$C$4:$C$15),A331&gt;MAX(Lists!$D$4:$D$15)),"No period",INDEX(Lists!$B$4:$B$15,MATCH(A331,Lists!$C$4:$C$15,1))))</f>
        <v/>
      </c>
      <c r="C331" s="28">
        <f>IF(B331="","",IFERROR(INDEX(Lists!$A$4:$A$15,MATCH(B331,Lists!$B$4:$B$15,0)),0))</f>
        <v/>
      </c>
      <c r="D331" s="25" t="n"/>
      <c r="E331" s="24" t="n"/>
      <c r="F331" s="27">
        <f>IF(E331="","",IFERROR(INDEX(Lists!$H$4:$H$40,MATCH(E331,Lists!$F$4:$F$40,0)),"UNMAPPED"))</f>
        <v/>
      </c>
      <c r="G331" s="25" t="n"/>
      <c r="H331" s="25" t="n"/>
      <c r="I331" s="25" t="n"/>
      <c r="J331" s="25" t="n"/>
      <c r="K331" s="25" t="n"/>
      <c r="L331" s="29" t="n"/>
      <c r="M331" s="25" t="n"/>
      <c r="N331" s="30" t="n"/>
      <c r="O331" s="31">
        <f>IF(N331="","",IF(G331="Revenue",ROUND(N331*VATRate,2),0))</f>
        <v/>
      </c>
      <c r="P331" s="31">
        <f>IF(N331="","",N331+O331)</f>
        <v/>
      </c>
    </row>
    <row r="332">
      <c r="A332" s="26" t="n"/>
      <c r="B332" s="27">
        <f>IF(A332="","",IF(OR(A332&lt;MIN(Lists!$C$4:$C$15),A332&gt;MAX(Lists!$D$4:$D$15)),"No period",INDEX(Lists!$B$4:$B$15,MATCH(A332,Lists!$C$4:$C$15,1))))</f>
        <v/>
      </c>
      <c r="C332" s="28">
        <f>IF(B332="","",IFERROR(INDEX(Lists!$A$4:$A$15,MATCH(B332,Lists!$B$4:$B$15,0)),0))</f>
        <v/>
      </c>
      <c r="D332" s="25" t="n"/>
      <c r="E332" s="24" t="n"/>
      <c r="F332" s="27">
        <f>IF(E332="","",IFERROR(INDEX(Lists!$H$4:$H$40,MATCH(E332,Lists!$F$4:$F$40,0)),"UNMAPPED"))</f>
        <v/>
      </c>
      <c r="G332" s="25" t="n"/>
      <c r="H332" s="25" t="n"/>
      <c r="I332" s="25" t="n"/>
      <c r="J332" s="25" t="n"/>
      <c r="K332" s="25" t="n"/>
      <c r="L332" s="29" t="n"/>
      <c r="M332" s="25" t="n"/>
      <c r="N332" s="30" t="n"/>
      <c r="O332" s="31">
        <f>IF(N332="","",IF(G332="Revenue",ROUND(N332*VATRate,2),0))</f>
        <v/>
      </c>
      <c r="P332" s="31">
        <f>IF(N332="","",N332+O332)</f>
        <v/>
      </c>
    </row>
    <row r="333">
      <c r="A333" s="26" t="n"/>
      <c r="B333" s="27">
        <f>IF(A333="","",IF(OR(A333&lt;MIN(Lists!$C$4:$C$15),A333&gt;MAX(Lists!$D$4:$D$15)),"No period",INDEX(Lists!$B$4:$B$15,MATCH(A333,Lists!$C$4:$C$15,1))))</f>
        <v/>
      </c>
      <c r="C333" s="28">
        <f>IF(B333="","",IFERROR(INDEX(Lists!$A$4:$A$15,MATCH(B333,Lists!$B$4:$B$15,0)),0))</f>
        <v/>
      </c>
      <c r="D333" s="25" t="n"/>
      <c r="E333" s="24" t="n"/>
      <c r="F333" s="27">
        <f>IF(E333="","",IFERROR(INDEX(Lists!$H$4:$H$40,MATCH(E333,Lists!$F$4:$F$40,0)),"UNMAPPED"))</f>
        <v/>
      </c>
      <c r="G333" s="25" t="n"/>
      <c r="H333" s="25" t="n"/>
      <c r="I333" s="25" t="n"/>
      <c r="J333" s="25" t="n"/>
      <c r="K333" s="25" t="n"/>
      <c r="L333" s="29" t="n"/>
      <c r="M333" s="25" t="n"/>
      <c r="N333" s="30" t="n"/>
      <c r="O333" s="31">
        <f>IF(N333="","",IF(G333="Revenue",ROUND(N333*VATRate,2),0))</f>
        <v/>
      </c>
      <c r="P333" s="31">
        <f>IF(N333="","",N333+O333)</f>
        <v/>
      </c>
    </row>
    <row r="334">
      <c r="A334" s="26" t="n"/>
      <c r="B334" s="27">
        <f>IF(A334="","",IF(OR(A334&lt;MIN(Lists!$C$4:$C$15),A334&gt;MAX(Lists!$D$4:$D$15)),"No period",INDEX(Lists!$B$4:$B$15,MATCH(A334,Lists!$C$4:$C$15,1))))</f>
        <v/>
      </c>
      <c r="C334" s="28">
        <f>IF(B334="","",IFERROR(INDEX(Lists!$A$4:$A$15,MATCH(B334,Lists!$B$4:$B$15,0)),0))</f>
        <v/>
      </c>
      <c r="D334" s="25" t="n"/>
      <c r="E334" s="24" t="n"/>
      <c r="F334" s="27">
        <f>IF(E334="","",IFERROR(INDEX(Lists!$H$4:$H$40,MATCH(E334,Lists!$F$4:$F$40,0)),"UNMAPPED"))</f>
        <v/>
      </c>
      <c r="G334" s="25" t="n"/>
      <c r="H334" s="25" t="n"/>
      <c r="I334" s="25" t="n"/>
      <c r="J334" s="25" t="n"/>
      <c r="K334" s="25" t="n"/>
      <c r="L334" s="29" t="n"/>
      <c r="M334" s="25" t="n"/>
      <c r="N334" s="30" t="n"/>
      <c r="O334" s="31">
        <f>IF(N334="","",IF(G334="Revenue",ROUND(N334*VATRate,2),0))</f>
        <v/>
      </c>
      <c r="P334" s="31">
        <f>IF(N334="","",N334+O334)</f>
        <v/>
      </c>
    </row>
    <row r="335">
      <c r="A335" s="26" t="n"/>
      <c r="B335" s="27">
        <f>IF(A335="","",IF(OR(A335&lt;MIN(Lists!$C$4:$C$15),A335&gt;MAX(Lists!$D$4:$D$15)),"No period",INDEX(Lists!$B$4:$B$15,MATCH(A335,Lists!$C$4:$C$15,1))))</f>
        <v/>
      </c>
      <c r="C335" s="28">
        <f>IF(B335="","",IFERROR(INDEX(Lists!$A$4:$A$15,MATCH(B335,Lists!$B$4:$B$15,0)),0))</f>
        <v/>
      </c>
      <c r="D335" s="25" t="n"/>
      <c r="E335" s="24" t="n"/>
      <c r="F335" s="27">
        <f>IF(E335="","",IFERROR(INDEX(Lists!$H$4:$H$40,MATCH(E335,Lists!$F$4:$F$40,0)),"UNMAPPED"))</f>
        <v/>
      </c>
      <c r="G335" s="25" t="n"/>
      <c r="H335" s="25" t="n"/>
      <c r="I335" s="25" t="n"/>
      <c r="J335" s="25" t="n"/>
      <c r="K335" s="25" t="n"/>
      <c r="L335" s="29" t="n"/>
      <c r="M335" s="25" t="n"/>
      <c r="N335" s="30" t="n"/>
      <c r="O335" s="31">
        <f>IF(N335="","",IF(G335="Revenue",ROUND(N335*VATRate,2),0))</f>
        <v/>
      </c>
      <c r="P335" s="31">
        <f>IF(N335="","",N335+O335)</f>
        <v/>
      </c>
    </row>
    <row r="336">
      <c r="A336" s="26" t="n"/>
      <c r="B336" s="27">
        <f>IF(A336="","",IF(OR(A336&lt;MIN(Lists!$C$4:$C$15),A336&gt;MAX(Lists!$D$4:$D$15)),"No period",INDEX(Lists!$B$4:$B$15,MATCH(A336,Lists!$C$4:$C$15,1))))</f>
        <v/>
      </c>
      <c r="C336" s="28">
        <f>IF(B336="","",IFERROR(INDEX(Lists!$A$4:$A$15,MATCH(B336,Lists!$B$4:$B$15,0)),0))</f>
        <v/>
      </c>
      <c r="D336" s="25" t="n"/>
      <c r="E336" s="24" t="n"/>
      <c r="F336" s="27">
        <f>IF(E336="","",IFERROR(INDEX(Lists!$H$4:$H$40,MATCH(E336,Lists!$F$4:$F$40,0)),"UNMAPPED"))</f>
        <v/>
      </c>
      <c r="G336" s="25" t="n"/>
      <c r="H336" s="25" t="n"/>
      <c r="I336" s="25" t="n"/>
      <c r="J336" s="25" t="n"/>
      <c r="K336" s="25" t="n"/>
      <c r="L336" s="29" t="n"/>
      <c r="M336" s="25" t="n"/>
      <c r="N336" s="30" t="n"/>
      <c r="O336" s="31">
        <f>IF(N336="","",IF(G336="Revenue",ROUND(N336*VATRate,2),0))</f>
        <v/>
      </c>
      <c r="P336" s="31">
        <f>IF(N336="","",N336+O336)</f>
        <v/>
      </c>
    </row>
    <row r="337">
      <c r="A337" s="26" t="n"/>
      <c r="B337" s="27">
        <f>IF(A337="","",IF(OR(A337&lt;MIN(Lists!$C$4:$C$15),A337&gt;MAX(Lists!$D$4:$D$15)),"No period",INDEX(Lists!$B$4:$B$15,MATCH(A337,Lists!$C$4:$C$15,1))))</f>
        <v/>
      </c>
      <c r="C337" s="28">
        <f>IF(B337="","",IFERROR(INDEX(Lists!$A$4:$A$15,MATCH(B337,Lists!$B$4:$B$15,0)),0))</f>
        <v/>
      </c>
      <c r="D337" s="25" t="n"/>
      <c r="E337" s="24" t="n"/>
      <c r="F337" s="27">
        <f>IF(E337="","",IFERROR(INDEX(Lists!$H$4:$H$40,MATCH(E337,Lists!$F$4:$F$40,0)),"UNMAPPED"))</f>
        <v/>
      </c>
      <c r="G337" s="25" t="n"/>
      <c r="H337" s="25" t="n"/>
      <c r="I337" s="25" t="n"/>
      <c r="J337" s="25" t="n"/>
      <c r="K337" s="25" t="n"/>
      <c r="L337" s="29" t="n"/>
      <c r="M337" s="25" t="n"/>
      <c r="N337" s="30" t="n"/>
      <c r="O337" s="31">
        <f>IF(N337="","",IF(G337="Revenue",ROUND(N337*VATRate,2),0))</f>
        <v/>
      </c>
      <c r="P337" s="31">
        <f>IF(N337="","",N337+O337)</f>
        <v/>
      </c>
    </row>
    <row r="338">
      <c r="A338" s="26" t="n"/>
      <c r="B338" s="27">
        <f>IF(A338="","",IF(OR(A338&lt;MIN(Lists!$C$4:$C$15),A338&gt;MAX(Lists!$D$4:$D$15)),"No period",INDEX(Lists!$B$4:$B$15,MATCH(A338,Lists!$C$4:$C$15,1))))</f>
        <v/>
      </c>
      <c r="C338" s="28">
        <f>IF(B338="","",IFERROR(INDEX(Lists!$A$4:$A$15,MATCH(B338,Lists!$B$4:$B$15,0)),0))</f>
        <v/>
      </c>
      <c r="D338" s="25" t="n"/>
      <c r="E338" s="24" t="n"/>
      <c r="F338" s="27">
        <f>IF(E338="","",IFERROR(INDEX(Lists!$H$4:$H$40,MATCH(E338,Lists!$F$4:$F$40,0)),"UNMAPPED"))</f>
        <v/>
      </c>
      <c r="G338" s="25" t="n"/>
      <c r="H338" s="25" t="n"/>
      <c r="I338" s="25" t="n"/>
      <c r="J338" s="25" t="n"/>
      <c r="K338" s="25" t="n"/>
      <c r="L338" s="29" t="n"/>
      <c r="M338" s="25" t="n"/>
      <c r="N338" s="30" t="n"/>
      <c r="O338" s="31">
        <f>IF(N338="","",IF(G338="Revenue",ROUND(N338*VATRate,2),0))</f>
        <v/>
      </c>
      <c r="P338" s="31">
        <f>IF(N338="","",N338+O338)</f>
        <v/>
      </c>
    </row>
    <row r="339">
      <c r="A339" s="26" t="n"/>
      <c r="B339" s="27">
        <f>IF(A339="","",IF(OR(A339&lt;MIN(Lists!$C$4:$C$15),A339&gt;MAX(Lists!$D$4:$D$15)),"No period",INDEX(Lists!$B$4:$B$15,MATCH(A339,Lists!$C$4:$C$15,1))))</f>
        <v/>
      </c>
      <c r="C339" s="28">
        <f>IF(B339="","",IFERROR(INDEX(Lists!$A$4:$A$15,MATCH(B339,Lists!$B$4:$B$15,0)),0))</f>
        <v/>
      </c>
      <c r="D339" s="25" t="n"/>
      <c r="E339" s="24" t="n"/>
      <c r="F339" s="27">
        <f>IF(E339="","",IFERROR(INDEX(Lists!$H$4:$H$40,MATCH(E339,Lists!$F$4:$F$40,0)),"UNMAPPED"))</f>
        <v/>
      </c>
      <c r="G339" s="25" t="n"/>
      <c r="H339" s="25" t="n"/>
      <c r="I339" s="25" t="n"/>
      <c r="J339" s="25" t="n"/>
      <c r="K339" s="25" t="n"/>
      <c r="L339" s="29" t="n"/>
      <c r="M339" s="25" t="n"/>
      <c r="N339" s="30" t="n"/>
      <c r="O339" s="31">
        <f>IF(N339="","",IF(G339="Revenue",ROUND(N339*VATRate,2),0))</f>
        <v/>
      </c>
      <c r="P339" s="31">
        <f>IF(N339="","",N339+O339)</f>
        <v/>
      </c>
    </row>
    <row r="340">
      <c r="A340" s="26" t="n"/>
      <c r="B340" s="27">
        <f>IF(A340="","",IF(OR(A340&lt;MIN(Lists!$C$4:$C$15),A340&gt;MAX(Lists!$D$4:$D$15)),"No period",INDEX(Lists!$B$4:$B$15,MATCH(A340,Lists!$C$4:$C$15,1))))</f>
        <v/>
      </c>
      <c r="C340" s="28">
        <f>IF(B340="","",IFERROR(INDEX(Lists!$A$4:$A$15,MATCH(B340,Lists!$B$4:$B$15,0)),0))</f>
        <v/>
      </c>
      <c r="D340" s="25" t="n"/>
      <c r="E340" s="24" t="n"/>
      <c r="F340" s="27">
        <f>IF(E340="","",IFERROR(INDEX(Lists!$H$4:$H$40,MATCH(E340,Lists!$F$4:$F$40,0)),"UNMAPPED"))</f>
        <v/>
      </c>
      <c r="G340" s="25" t="n"/>
      <c r="H340" s="25" t="n"/>
      <c r="I340" s="25" t="n"/>
      <c r="J340" s="25" t="n"/>
      <c r="K340" s="25" t="n"/>
      <c r="L340" s="29" t="n"/>
      <c r="M340" s="25" t="n"/>
      <c r="N340" s="30" t="n"/>
      <c r="O340" s="31">
        <f>IF(N340="","",IF(G340="Revenue",ROUND(N340*VATRate,2),0))</f>
        <v/>
      </c>
      <c r="P340" s="31">
        <f>IF(N340="","",N340+O340)</f>
        <v/>
      </c>
    </row>
    <row r="341">
      <c r="A341" s="26" t="n"/>
      <c r="B341" s="27">
        <f>IF(A341="","",IF(OR(A341&lt;MIN(Lists!$C$4:$C$15),A341&gt;MAX(Lists!$D$4:$D$15)),"No period",INDEX(Lists!$B$4:$B$15,MATCH(A341,Lists!$C$4:$C$15,1))))</f>
        <v/>
      </c>
      <c r="C341" s="28">
        <f>IF(B341="","",IFERROR(INDEX(Lists!$A$4:$A$15,MATCH(B341,Lists!$B$4:$B$15,0)),0))</f>
        <v/>
      </c>
      <c r="D341" s="25" t="n"/>
      <c r="E341" s="24" t="n"/>
      <c r="F341" s="27">
        <f>IF(E341="","",IFERROR(INDEX(Lists!$H$4:$H$40,MATCH(E341,Lists!$F$4:$F$40,0)),"UNMAPPED"))</f>
        <v/>
      </c>
      <c r="G341" s="25" t="n"/>
      <c r="H341" s="25" t="n"/>
      <c r="I341" s="25" t="n"/>
      <c r="J341" s="25" t="n"/>
      <c r="K341" s="25" t="n"/>
      <c r="L341" s="29" t="n"/>
      <c r="M341" s="25" t="n"/>
      <c r="N341" s="30" t="n"/>
      <c r="O341" s="31">
        <f>IF(N341="","",IF(G341="Revenue",ROUND(N341*VATRate,2),0))</f>
        <v/>
      </c>
      <c r="P341" s="31">
        <f>IF(N341="","",N341+O341)</f>
        <v/>
      </c>
    </row>
    <row r="342">
      <c r="A342" s="26" t="n"/>
      <c r="B342" s="27">
        <f>IF(A342="","",IF(OR(A342&lt;MIN(Lists!$C$4:$C$15),A342&gt;MAX(Lists!$D$4:$D$15)),"No period",INDEX(Lists!$B$4:$B$15,MATCH(A342,Lists!$C$4:$C$15,1))))</f>
        <v/>
      </c>
      <c r="C342" s="28">
        <f>IF(B342="","",IFERROR(INDEX(Lists!$A$4:$A$15,MATCH(B342,Lists!$B$4:$B$15,0)),0))</f>
        <v/>
      </c>
      <c r="D342" s="25" t="n"/>
      <c r="E342" s="24" t="n"/>
      <c r="F342" s="27">
        <f>IF(E342="","",IFERROR(INDEX(Lists!$H$4:$H$40,MATCH(E342,Lists!$F$4:$F$40,0)),"UNMAPPED"))</f>
        <v/>
      </c>
      <c r="G342" s="25" t="n"/>
      <c r="H342" s="25" t="n"/>
      <c r="I342" s="25" t="n"/>
      <c r="J342" s="25" t="n"/>
      <c r="K342" s="25" t="n"/>
      <c r="L342" s="29" t="n"/>
      <c r="M342" s="25" t="n"/>
      <c r="N342" s="30" t="n"/>
      <c r="O342" s="31">
        <f>IF(N342="","",IF(G342="Revenue",ROUND(N342*VATRate,2),0))</f>
        <v/>
      </c>
      <c r="P342" s="31">
        <f>IF(N342="","",N342+O342)</f>
        <v/>
      </c>
    </row>
    <row r="343">
      <c r="A343" s="26" t="n"/>
      <c r="B343" s="27">
        <f>IF(A343="","",IF(OR(A343&lt;MIN(Lists!$C$4:$C$15),A343&gt;MAX(Lists!$D$4:$D$15)),"No period",INDEX(Lists!$B$4:$B$15,MATCH(A343,Lists!$C$4:$C$15,1))))</f>
        <v/>
      </c>
      <c r="C343" s="28">
        <f>IF(B343="","",IFERROR(INDEX(Lists!$A$4:$A$15,MATCH(B343,Lists!$B$4:$B$15,0)),0))</f>
        <v/>
      </c>
      <c r="D343" s="25" t="n"/>
      <c r="E343" s="24" t="n"/>
      <c r="F343" s="27">
        <f>IF(E343="","",IFERROR(INDEX(Lists!$H$4:$H$40,MATCH(E343,Lists!$F$4:$F$40,0)),"UNMAPPED"))</f>
        <v/>
      </c>
      <c r="G343" s="25" t="n"/>
      <c r="H343" s="25" t="n"/>
      <c r="I343" s="25" t="n"/>
      <c r="J343" s="25" t="n"/>
      <c r="K343" s="25" t="n"/>
      <c r="L343" s="29" t="n"/>
      <c r="M343" s="25" t="n"/>
      <c r="N343" s="30" t="n"/>
      <c r="O343" s="31">
        <f>IF(N343="","",IF(G343="Revenue",ROUND(N343*VATRate,2),0))</f>
        <v/>
      </c>
      <c r="P343" s="31">
        <f>IF(N343="","",N343+O343)</f>
        <v/>
      </c>
    </row>
    <row r="344">
      <c r="A344" s="26" t="n"/>
      <c r="B344" s="27">
        <f>IF(A344="","",IF(OR(A344&lt;MIN(Lists!$C$4:$C$15),A344&gt;MAX(Lists!$D$4:$D$15)),"No period",INDEX(Lists!$B$4:$B$15,MATCH(A344,Lists!$C$4:$C$15,1))))</f>
        <v/>
      </c>
      <c r="C344" s="28">
        <f>IF(B344="","",IFERROR(INDEX(Lists!$A$4:$A$15,MATCH(B344,Lists!$B$4:$B$15,0)),0))</f>
        <v/>
      </c>
      <c r="D344" s="25" t="n"/>
      <c r="E344" s="24" t="n"/>
      <c r="F344" s="27">
        <f>IF(E344="","",IFERROR(INDEX(Lists!$H$4:$H$40,MATCH(E344,Lists!$F$4:$F$40,0)),"UNMAPPED"))</f>
        <v/>
      </c>
      <c r="G344" s="25" t="n"/>
      <c r="H344" s="25" t="n"/>
      <c r="I344" s="25" t="n"/>
      <c r="J344" s="25" t="n"/>
      <c r="K344" s="25" t="n"/>
      <c r="L344" s="29" t="n"/>
      <c r="M344" s="25" t="n"/>
      <c r="N344" s="30" t="n"/>
      <c r="O344" s="31">
        <f>IF(N344="","",IF(G344="Revenue",ROUND(N344*VATRate,2),0))</f>
        <v/>
      </c>
      <c r="P344" s="31">
        <f>IF(N344="","",N344+O344)</f>
        <v/>
      </c>
    </row>
    <row r="345">
      <c r="A345" s="26" t="n"/>
      <c r="B345" s="27">
        <f>IF(A345="","",IF(OR(A345&lt;MIN(Lists!$C$4:$C$15),A345&gt;MAX(Lists!$D$4:$D$15)),"No period",INDEX(Lists!$B$4:$B$15,MATCH(A345,Lists!$C$4:$C$15,1))))</f>
        <v/>
      </c>
      <c r="C345" s="28">
        <f>IF(B345="","",IFERROR(INDEX(Lists!$A$4:$A$15,MATCH(B345,Lists!$B$4:$B$15,0)),0))</f>
        <v/>
      </c>
      <c r="D345" s="25" t="n"/>
      <c r="E345" s="24" t="n"/>
      <c r="F345" s="27">
        <f>IF(E345="","",IFERROR(INDEX(Lists!$H$4:$H$40,MATCH(E345,Lists!$F$4:$F$40,0)),"UNMAPPED"))</f>
        <v/>
      </c>
      <c r="G345" s="25" t="n"/>
      <c r="H345" s="25" t="n"/>
      <c r="I345" s="25" t="n"/>
      <c r="J345" s="25" t="n"/>
      <c r="K345" s="25" t="n"/>
      <c r="L345" s="29" t="n"/>
      <c r="M345" s="25" t="n"/>
      <c r="N345" s="30" t="n"/>
      <c r="O345" s="31">
        <f>IF(N345="","",IF(G345="Revenue",ROUND(N345*VATRate,2),0))</f>
        <v/>
      </c>
      <c r="P345" s="31">
        <f>IF(N345="","",N345+O345)</f>
        <v/>
      </c>
    </row>
    <row r="346">
      <c r="A346" s="26" t="n"/>
      <c r="B346" s="27">
        <f>IF(A346="","",IF(OR(A346&lt;MIN(Lists!$C$4:$C$15),A346&gt;MAX(Lists!$D$4:$D$15)),"No period",INDEX(Lists!$B$4:$B$15,MATCH(A346,Lists!$C$4:$C$15,1))))</f>
        <v/>
      </c>
      <c r="C346" s="28">
        <f>IF(B346="","",IFERROR(INDEX(Lists!$A$4:$A$15,MATCH(B346,Lists!$B$4:$B$15,0)),0))</f>
        <v/>
      </c>
      <c r="D346" s="25" t="n"/>
      <c r="E346" s="24" t="n"/>
      <c r="F346" s="27">
        <f>IF(E346="","",IFERROR(INDEX(Lists!$H$4:$H$40,MATCH(E346,Lists!$F$4:$F$40,0)),"UNMAPPED"))</f>
        <v/>
      </c>
      <c r="G346" s="25" t="n"/>
      <c r="H346" s="25" t="n"/>
      <c r="I346" s="25" t="n"/>
      <c r="J346" s="25" t="n"/>
      <c r="K346" s="25" t="n"/>
      <c r="L346" s="29" t="n"/>
      <c r="M346" s="25" t="n"/>
      <c r="N346" s="30" t="n"/>
      <c r="O346" s="31">
        <f>IF(N346="","",IF(G346="Revenue",ROUND(N346*VATRate,2),0))</f>
        <v/>
      </c>
      <c r="P346" s="31">
        <f>IF(N346="","",N346+O346)</f>
        <v/>
      </c>
    </row>
    <row r="347">
      <c r="A347" s="26" t="n"/>
      <c r="B347" s="27">
        <f>IF(A347="","",IF(OR(A347&lt;MIN(Lists!$C$4:$C$15),A347&gt;MAX(Lists!$D$4:$D$15)),"No period",INDEX(Lists!$B$4:$B$15,MATCH(A347,Lists!$C$4:$C$15,1))))</f>
        <v/>
      </c>
      <c r="C347" s="28">
        <f>IF(B347="","",IFERROR(INDEX(Lists!$A$4:$A$15,MATCH(B347,Lists!$B$4:$B$15,0)),0))</f>
        <v/>
      </c>
      <c r="D347" s="25" t="n"/>
      <c r="E347" s="24" t="n"/>
      <c r="F347" s="27">
        <f>IF(E347="","",IFERROR(INDEX(Lists!$H$4:$H$40,MATCH(E347,Lists!$F$4:$F$40,0)),"UNMAPPED"))</f>
        <v/>
      </c>
      <c r="G347" s="25" t="n"/>
      <c r="H347" s="25" t="n"/>
      <c r="I347" s="25" t="n"/>
      <c r="J347" s="25" t="n"/>
      <c r="K347" s="25" t="n"/>
      <c r="L347" s="29" t="n"/>
      <c r="M347" s="25" t="n"/>
      <c r="N347" s="30" t="n"/>
      <c r="O347" s="31">
        <f>IF(N347="","",IF(G347="Revenue",ROUND(N347*VATRate,2),0))</f>
        <v/>
      </c>
      <c r="P347" s="31">
        <f>IF(N347="","",N347+O347)</f>
        <v/>
      </c>
    </row>
    <row r="348">
      <c r="A348" s="26" t="n"/>
      <c r="B348" s="27">
        <f>IF(A348="","",IF(OR(A348&lt;MIN(Lists!$C$4:$C$15),A348&gt;MAX(Lists!$D$4:$D$15)),"No period",INDEX(Lists!$B$4:$B$15,MATCH(A348,Lists!$C$4:$C$15,1))))</f>
        <v/>
      </c>
      <c r="C348" s="28">
        <f>IF(B348="","",IFERROR(INDEX(Lists!$A$4:$A$15,MATCH(B348,Lists!$B$4:$B$15,0)),0))</f>
        <v/>
      </c>
      <c r="D348" s="25" t="n"/>
      <c r="E348" s="24" t="n"/>
      <c r="F348" s="27">
        <f>IF(E348="","",IFERROR(INDEX(Lists!$H$4:$H$40,MATCH(E348,Lists!$F$4:$F$40,0)),"UNMAPPED"))</f>
        <v/>
      </c>
      <c r="G348" s="25" t="n"/>
      <c r="H348" s="25" t="n"/>
      <c r="I348" s="25" t="n"/>
      <c r="J348" s="25" t="n"/>
      <c r="K348" s="25" t="n"/>
      <c r="L348" s="29" t="n"/>
      <c r="M348" s="25" t="n"/>
      <c r="N348" s="30" t="n"/>
      <c r="O348" s="31">
        <f>IF(N348="","",IF(G348="Revenue",ROUND(N348*VATRate,2),0))</f>
        <v/>
      </c>
      <c r="P348" s="31">
        <f>IF(N348="","",N348+O348)</f>
        <v/>
      </c>
    </row>
    <row r="349">
      <c r="A349" s="26" t="n"/>
      <c r="B349" s="27">
        <f>IF(A349="","",IF(OR(A349&lt;MIN(Lists!$C$4:$C$15),A349&gt;MAX(Lists!$D$4:$D$15)),"No period",INDEX(Lists!$B$4:$B$15,MATCH(A349,Lists!$C$4:$C$15,1))))</f>
        <v/>
      </c>
      <c r="C349" s="28">
        <f>IF(B349="","",IFERROR(INDEX(Lists!$A$4:$A$15,MATCH(B349,Lists!$B$4:$B$15,0)),0))</f>
        <v/>
      </c>
      <c r="D349" s="25" t="n"/>
      <c r="E349" s="24" t="n"/>
      <c r="F349" s="27">
        <f>IF(E349="","",IFERROR(INDEX(Lists!$H$4:$H$40,MATCH(E349,Lists!$F$4:$F$40,0)),"UNMAPPED"))</f>
        <v/>
      </c>
      <c r="G349" s="25" t="n"/>
      <c r="H349" s="25" t="n"/>
      <c r="I349" s="25" t="n"/>
      <c r="J349" s="25" t="n"/>
      <c r="K349" s="25" t="n"/>
      <c r="L349" s="29" t="n"/>
      <c r="M349" s="25" t="n"/>
      <c r="N349" s="30" t="n"/>
      <c r="O349" s="31">
        <f>IF(N349="","",IF(G349="Revenue",ROUND(N349*VATRate,2),0))</f>
        <v/>
      </c>
      <c r="P349" s="31">
        <f>IF(N349="","",N349+O349)</f>
        <v/>
      </c>
    </row>
    <row r="350">
      <c r="A350" s="26" t="n"/>
      <c r="B350" s="27">
        <f>IF(A350="","",IF(OR(A350&lt;MIN(Lists!$C$4:$C$15),A350&gt;MAX(Lists!$D$4:$D$15)),"No period",INDEX(Lists!$B$4:$B$15,MATCH(A350,Lists!$C$4:$C$15,1))))</f>
        <v/>
      </c>
      <c r="C350" s="28">
        <f>IF(B350="","",IFERROR(INDEX(Lists!$A$4:$A$15,MATCH(B350,Lists!$B$4:$B$15,0)),0))</f>
        <v/>
      </c>
      <c r="D350" s="25" t="n"/>
      <c r="E350" s="24" t="n"/>
      <c r="F350" s="27">
        <f>IF(E350="","",IFERROR(INDEX(Lists!$H$4:$H$40,MATCH(E350,Lists!$F$4:$F$40,0)),"UNMAPPED"))</f>
        <v/>
      </c>
      <c r="G350" s="25" t="n"/>
      <c r="H350" s="25" t="n"/>
      <c r="I350" s="25" t="n"/>
      <c r="J350" s="25" t="n"/>
      <c r="K350" s="25" t="n"/>
      <c r="L350" s="29" t="n"/>
      <c r="M350" s="25" t="n"/>
      <c r="N350" s="30" t="n"/>
      <c r="O350" s="31">
        <f>IF(N350="","",IF(G350="Revenue",ROUND(N350*VATRate,2),0))</f>
        <v/>
      </c>
      <c r="P350" s="31">
        <f>IF(N350="","",N350+O350)</f>
        <v/>
      </c>
    </row>
    <row r="351">
      <c r="A351" s="26" t="n"/>
      <c r="B351" s="27">
        <f>IF(A351="","",IF(OR(A351&lt;MIN(Lists!$C$4:$C$15),A351&gt;MAX(Lists!$D$4:$D$15)),"No period",INDEX(Lists!$B$4:$B$15,MATCH(A351,Lists!$C$4:$C$15,1))))</f>
        <v/>
      </c>
      <c r="C351" s="28">
        <f>IF(B351="","",IFERROR(INDEX(Lists!$A$4:$A$15,MATCH(B351,Lists!$B$4:$B$15,0)),0))</f>
        <v/>
      </c>
      <c r="D351" s="25" t="n"/>
      <c r="E351" s="24" t="n"/>
      <c r="F351" s="27">
        <f>IF(E351="","",IFERROR(INDEX(Lists!$H$4:$H$40,MATCH(E351,Lists!$F$4:$F$40,0)),"UNMAPPED"))</f>
        <v/>
      </c>
      <c r="G351" s="25" t="n"/>
      <c r="H351" s="25" t="n"/>
      <c r="I351" s="25" t="n"/>
      <c r="J351" s="25" t="n"/>
      <c r="K351" s="25" t="n"/>
      <c r="L351" s="29" t="n"/>
      <c r="M351" s="25" t="n"/>
      <c r="N351" s="30" t="n"/>
      <c r="O351" s="31">
        <f>IF(N351="","",IF(G351="Revenue",ROUND(N351*VATRate,2),0))</f>
        <v/>
      </c>
      <c r="P351" s="31">
        <f>IF(N351="","",N351+O351)</f>
        <v/>
      </c>
    </row>
    <row r="352">
      <c r="A352" s="26" t="n"/>
      <c r="B352" s="27">
        <f>IF(A352="","",IF(OR(A352&lt;MIN(Lists!$C$4:$C$15),A352&gt;MAX(Lists!$D$4:$D$15)),"No period",INDEX(Lists!$B$4:$B$15,MATCH(A352,Lists!$C$4:$C$15,1))))</f>
        <v/>
      </c>
      <c r="C352" s="28">
        <f>IF(B352="","",IFERROR(INDEX(Lists!$A$4:$A$15,MATCH(B352,Lists!$B$4:$B$15,0)),0))</f>
        <v/>
      </c>
      <c r="D352" s="25" t="n"/>
      <c r="E352" s="24" t="n"/>
      <c r="F352" s="27">
        <f>IF(E352="","",IFERROR(INDEX(Lists!$H$4:$H$40,MATCH(E352,Lists!$F$4:$F$40,0)),"UNMAPPED"))</f>
        <v/>
      </c>
      <c r="G352" s="25" t="n"/>
      <c r="H352" s="25" t="n"/>
      <c r="I352" s="25" t="n"/>
      <c r="J352" s="25" t="n"/>
      <c r="K352" s="25" t="n"/>
      <c r="L352" s="29" t="n"/>
      <c r="M352" s="25" t="n"/>
      <c r="N352" s="30" t="n"/>
      <c r="O352" s="31">
        <f>IF(N352="","",IF(G352="Revenue",ROUND(N352*VATRate,2),0))</f>
        <v/>
      </c>
      <c r="P352" s="31">
        <f>IF(N352="","",N352+O352)</f>
        <v/>
      </c>
    </row>
    <row r="353">
      <c r="A353" s="26" t="n"/>
      <c r="B353" s="27">
        <f>IF(A353="","",IF(OR(A353&lt;MIN(Lists!$C$4:$C$15),A353&gt;MAX(Lists!$D$4:$D$15)),"No period",INDEX(Lists!$B$4:$B$15,MATCH(A353,Lists!$C$4:$C$15,1))))</f>
        <v/>
      </c>
      <c r="C353" s="28">
        <f>IF(B353="","",IFERROR(INDEX(Lists!$A$4:$A$15,MATCH(B353,Lists!$B$4:$B$15,0)),0))</f>
        <v/>
      </c>
      <c r="D353" s="25" t="n"/>
      <c r="E353" s="24" t="n"/>
      <c r="F353" s="27">
        <f>IF(E353="","",IFERROR(INDEX(Lists!$H$4:$H$40,MATCH(E353,Lists!$F$4:$F$40,0)),"UNMAPPED"))</f>
        <v/>
      </c>
      <c r="G353" s="25" t="n"/>
      <c r="H353" s="25" t="n"/>
      <c r="I353" s="25" t="n"/>
      <c r="J353" s="25" t="n"/>
      <c r="K353" s="25" t="n"/>
      <c r="L353" s="29" t="n"/>
      <c r="M353" s="25" t="n"/>
      <c r="N353" s="30" t="n"/>
      <c r="O353" s="31">
        <f>IF(N353="","",IF(G353="Revenue",ROUND(N353*VATRate,2),0))</f>
        <v/>
      </c>
      <c r="P353" s="31">
        <f>IF(N353="","",N353+O353)</f>
        <v/>
      </c>
    </row>
    <row r="354">
      <c r="A354" s="26" t="n"/>
      <c r="B354" s="27">
        <f>IF(A354="","",IF(OR(A354&lt;MIN(Lists!$C$4:$C$15),A354&gt;MAX(Lists!$D$4:$D$15)),"No period",INDEX(Lists!$B$4:$B$15,MATCH(A354,Lists!$C$4:$C$15,1))))</f>
        <v/>
      </c>
      <c r="C354" s="28">
        <f>IF(B354="","",IFERROR(INDEX(Lists!$A$4:$A$15,MATCH(B354,Lists!$B$4:$B$15,0)),0))</f>
        <v/>
      </c>
      <c r="D354" s="25" t="n"/>
      <c r="E354" s="24" t="n"/>
      <c r="F354" s="27">
        <f>IF(E354="","",IFERROR(INDEX(Lists!$H$4:$H$40,MATCH(E354,Lists!$F$4:$F$40,0)),"UNMAPPED"))</f>
        <v/>
      </c>
      <c r="G354" s="25" t="n"/>
      <c r="H354" s="25" t="n"/>
      <c r="I354" s="25" t="n"/>
      <c r="J354" s="25" t="n"/>
      <c r="K354" s="25" t="n"/>
      <c r="L354" s="29" t="n"/>
      <c r="M354" s="25" t="n"/>
      <c r="N354" s="30" t="n"/>
      <c r="O354" s="31">
        <f>IF(N354="","",IF(G354="Revenue",ROUND(N354*VATRate,2),0))</f>
        <v/>
      </c>
      <c r="P354" s="31">
        <f>IF(N354="","",N354+O354)</f>
        <v/>
      </c>
    </row>
    <row r="355">
      <c r="A355" s="26" t="n"/>
      <c r="B355" s="27">
        <f>IF(A355="","",IF(OR(A355&lt;MIN(Lists!$C$4:$C$15),A355&gt;MAX(Lists!$D$4:$D$15)),"No period",INDEX(Lists!$B$4:$B$15,MATCH(A355,Lists!$C$4:$C$15,1))))</f>
        <v/>
      </c>
      <c r="C355" s="28">
        <f>IF(B355="","",IFERROR(INDEX(Lists!$A$4:$A$15,MATCH(B355,Lists!$B$4:$B$15,0)),0))</f>
        <v/>
      </c>
      <c r="D355" s="25" t="n"/>
      <c r="E355" s="24" t="n"/>
      <c r="F355" s="27">
        <f>IF(E355="","",IFERROR(INDEX(Lists!$H$4:$H$40,MATCH(E355,Lists!$F$4:$F$40,0)),"UNMAPPED"))</f>
        <v/>
      </c>
      <c r="G355" s="25" t="n"/>
      <c r="H355" s="25" t="n"/>
      <c r="I355" s="25" t="n"/>
      <c r="J355" s="25" t="n"/>
      <c r="K355" s="25" t="n"/>
      <c r="L355" s="29" t="n"/>
      <c r="M355" s="25" t="n"/>
      <c r="N355" s="30" t="n"/>
      <c r="O355" s="31">
        <f>IF(N355="","",IF(G355="Revenue",ROUND(N355*VATRate,2),0))</f>
        <v/>
      </c>
      <c r="P355" s="31">
        <f>IF(N355="","",N355+O355)</f>
        <v/>
      </c>
    </row>
    <row r="356">
      <c r="A356" s="26" t="n"/>
      <c r="B356" s="27">
        <f>IF(A356="","",IF(OR(A356&lt;MIN(Lists!$C$4:$C$15),A356&gt;MAX(Lists!$D$4:$D$15)),"No period",INDEX(Lists!$B$4:$B$15,MATCH(A356,Lists!$C$4:$C$15,1))))</f>
        <v/>
      </c>
      <c r="C356" s="28">
        <f>IF(B356="","",IFERROR(INDEX(Lists!$A$4:$A$15,MATCH(B356,Lists!$B$4:$B$15,0)),0))</f>
        <v/>
      </c>
      <c r="D356" s="25" t="n"/>
      <c r="E356" s="24" t="n"/>
      <c r="F356" s="27">
        <f>IF(E356="","",IFERROR(INDEX(Lists!$H$4:$H$40,MATCH(E356,Lists!$F$4:$F$40,0)),"UNMAPPED"))</f>
        <v/>
      </c>
      <c r="G356" s="25" t="n"/>
      <c r="H356" s="25" t="n"/>
      <c r="I356" s="25" t="n"/>
      <c r="J356" s="25" t="n"/>
      <c r="K356" s="25" t="n"/>
      <c r="L356" s="29" t="n"/>
      <c r="M356" s="25" t="n"/>
      <c r="N356" s="30" t="n"/>
      <c r="O356" s="31">
        <f>IF(N356="","",IF(G356="Revenue",ROUND(N356*VATRate,2),0))</f>
        <v/>
      </c>
      <c r="P356" s="31">
        <f>IF(N356="","",N356+O356)</f>
        <v/>
      </c>
    </row>
    <row r="357">
      <c r="A357" s="26" t="n"/>
      <c r="B357" s="27">
        <f>IF(A357="","",IF(OR(A357&lt;MIN(Lists!$C$4:$C$15),A357&gt;MAX(Lists!$D$4:$D$15)),"No period",INDEX(Lists!$B$4:$B$15,MATCH(A357,Lists!$C$4:$C$15,1))))</f>
        <v/>
      </c>
      <c r="C357" s="28">
        <f>IF(B357="","",IFERROR(INDEX(Lists!$A$4:$A$15,MATCH(B357,Lists!$B$4:$B$15,0)),0))</f>
        <v/>
      </c>
      <c r="D357" s="25" t="n"/>
      <c r="E357" s="24" t="n"/>
      <c r="F357" s="27">
        <f>IF(E357="","",IFERROR(INDEX(Lists!$H$4:$H$40,MATCH(E357,Lists!$F$4:$F$40,0)),"UNMAPPED"))</f>
        <v/>
      </c>
      <c r="G357" s="25" t="n"/>
      <c r="H357" s="25" t="n"/>
      <c r="I357" s="25" t="n"/>
      <c r="J357" s="25" t="n"/>
      <c r="K357" s="25" t="n"/>
      <c r="L357" s="29" t="n"/>
      <c r="M357" s="25" t="n"/>
      <c r="N357" s="30" t="n"/>
      <c r="O357" s="31">
        <f>IF(N357="","",IF(G357="Revenue",ROUND(N357*VATRate,2),0))</f>
        <v/>
      </c>
      <c r="P357" s="31">
        <f>IF(N357="","",N357+O357)</f>
        <v/>
      </c>
    </row>
    <row r="358">
      <c r="A358" s="26" t="n"/>
      <c r="B358" s="27">
        <f>IF(A358="","",IF(OR(A358&lt;MIN(Lists!$C$4:$C$15),A358&gt;MAX(Lists!$D$4:$D$15)),"No period",INDEX(Lists!$B$4:$B$15,MATCH(A358,Lists!$C$4:$C$15,1))))</f>
        <v/>
      </c>
      <c r="C358" s="28">
        <f>IF(B358="","",IFERROR(INDEX(Lists!$A$4:$A$15,MATCH(B358,Lists!$B$4:$B$15,0)),0))</f>
        <v/>
      </c>
      <c r="D358" s="25" t="n"/>
      <c r="E358" s="24" t="n"/>
      <c r="F358" s="27">
        <f>IF(E358="","",IFERROR(INDEX(Lists!$H$4:$H$40,MATCH(E358,Lists!$F$4:$F$40,0)),"UNMAPPED"))</f>
        <v/>
      </c>
      <c r="G358" s="25" t="n"/>
      <c r="H358" s="25" t="n"/>
      <c r="I358" s="25" t="n"/>
      <c r="J358" s="25" t="n"/>
      <c r="K358" s="25" t="n"/>
      <c r="L358" s="29" t="n"/>
      <c r="M358" s="25" t="n"/>
      <c r="N358" s="30" t="n"/>
      <c r="O358" s="31">
        <f>IF(N358="","",IF(G358="Revenue",ROUND(N358*VATRate,2),0))</f>
        <v/>
      </c>
      <c r="P358" s="31">
        <f>IF(N358="","",N358+O358)</f>
        <v/>
      </c>
    </row>
    <row r="359">
      <c r="A359" s="26" t="n"/>
      <c r="B359" s="27">
        <f>IF(A359="","",IF(OR(A359&lt;MIN(Lists!$C$4:$C$15),A359&gt;MAX(Lists!$D$4:$D$15)),"No period",INDEX(Lists!$B$4:$B$15,MATCH(A359,Lists!$C$4:$C$15,1))))</f>
        <v/>
      </c>
      <c r="C359" s="28">
        <f>IF(B359="","",IFERROR(INDEX(Lists!$A$4:$A$15,MATCH(B359,Lists!$B$4:$B$15,0)),0))</f>
        <v/>
      </c>
      <c r="D359" s="25" t="n"/>
      <c r="E359" s="24" t="n"/>
      <c r="F359" s="27">
        <f>IF(E359="","",IFERROR(INDEX(Lists!$H$4:$H$40,MATCH(E359,Lists!$F$4:$F$40,0)),"UNMAPPED"))</f>
        <v/>
      </c>
      <c r="G359" s="25" t="n"/>
      <c r="H359" s="25" t="n"/>
      <c r="I359" s="25" t="n"/>
      <c r="J359" s="25" t="n"/>
      <c r="K359" s="25" t="n"/>
      <c r="L359" s="29" t="n"/>
      <c r="M359" s="25" t="n"/>
      <c r="N359" s="30" t="n"/>
      <c r="O359" s="31">
        <f>IF(N359="","",IF(G359="Revenue",ROUND(N359*VATRate,2),0))</f>
        <v/>
      </c>
      <c r="P359" s="31">
        <f>IF(N359="","",N359+O359)</f>
        <v/>
      </c>
    </row>
    <row r="360">
      <c r="A360" s="26" t="n"/>
      <c r="B360" s="27">
        <f>IF(A360="","",IF(OR(A360&lt;MIN(Lists!$C$4:$C$15),A360&gt;MAX(Lists!$D$4:$D$15)),"No period",INDEX(Lists!$B$4:$B$15,MATCH(A360,Lists!$C$4:$C$15,1))))</f>
        <v/>
      </c>
      <c r="C360" s="28">
        <f>IF(B360="","",IFERROR(INDEX(Lists!$A$4:$A$15,MATCH(B360,Lists!$B$4:$B$15,0)),0))</f>
        <v/>
      </c>
      <c r="D360" s="25" t="n"/>
      <c r="E360" s="24" t="n"/>
      <c r="F360" s="27">
        <f>IF(E360="","",IFERROR(INDEX(Lists!$H$4:$H$40,MATCH(E360,Lists!$F$4:$F$40,0)),"UNMAPPED"))</f>
        <v/>
      </c>
      <c r="G360" s="25" t="n"/>
      <c r="H360" s="25" t="n"/>
      <c r="I360" s="25" t="n"/>
      <c r="J360" s="25" t="n"/>
      <c r="K360" s="25" t="n"/>
      <c r="L360" s="29" t="n"/>
      <c r="M360" s="25" t="n"/>
      <c r="N360" s="30" t="n"/>
      <c r="O360" s="31">
        <f>IF(N360="","",IF(G360="Revenue",ROUND(N360*VATRate,2),0))</f>
        <v/>
      </c>
      <c r="P360" s="31">
        <f>IF(N360="","",N360+O360)</f>
        <v/>
      </c>
    </row>
    <row r="361">
      <c r="A361" s="26" t="n"/>
      <c r="B361" s="27">
        <f>IF(A361="","",IF(OR(A361&lt;MIN(Lists!$C$4:$C$15),A361&gt;MAX(Lists!$D$4:$D$15)),"No period",INDEX(Lists!$B$4:$B$15,MATCH(A361,Lists!$C$4:$C$15,1))))</f>
        <v/>
      </c>
      <c r="C361" s="28">
        <f>IF(B361="","",IFERROR(INDEX(Lists!$A$4:$A$15,MATCH(B361,Lists!$B$4:$B$15,0)),0))</f>
        <v/>
      </c>
      <c r="D361" s="25" t="n"/>
      <c r="E361" s="24" t="n"/>
      <c r="F361" s="27">
        <f>IF(E361="","",IFERROR(INDEX(Lists!$H$4:$H$40,MATCH(E361,Lists!$F$4:$F$40,0)),"UNMAPPED"))</f>
        <v/>
      </c>
      <c r="G361" s="25" t="n"/>
      <c r="H361" s="25" t="n"/>
      <c r="I361" s="25" t="n"/>
      <c r="J361" s="25" t="n"/>
      <c r="K361" s="25" t="n"/>
      <c r="L361" s="29" t="n"/>
      <c r="M361" s="25" t="n"/>
      <c r="N361" s="30" t="n"/>
      <c r="O361" s="31">
        <f>IF(N361="","",IF(G361="Revenue",ROUND(N361*VATRate,2),0))</f>
        <v/>
      </c>
      <c r="P361" s="31">
        <f>IF(N361="","",N361+O361)</f>
        <v/>
      </c>
    </row>
    <row r="362">
      <c r="A362" s="26" t="n"/>
      <c r="B362" s="27">
        <f>IF(A362="","",IF(OR(A362&lt;MIN(Lists!$C$4:$C$15),A362&gt;MAX(Lists!$D$4:$D$15)),"No period",INDEX(Lists!$B$4:$B$15,MATCH(A362,Lists!$C$4:$C$15,1))))</f>
        <v/>
      </c>
      <c r="C362" s="28">
        <f>IF(B362="","",IFERROR(INDEX(Lists!$A$4:$A$15,MATCH(B362,Lists!$B$4:$B$15,0)),0))</f>
        <v/>
      </c>
      <c r="D362" s="25" t="n"/>
      <c r="E362" s="24" t="n"/>
      <c r="F362" s="27">
        <f>IF(E362="","",IFERROR(INDEX(Lists!$H$4:$H$40,MATCH(E362,Lists!$F$4:$F$40,0)),"UNMAPPED"))</f>
        <v/>
      </c>
      <c r="G362" s="25" t="n"/>
      <c r="H362" s="25" t="n"/>
      <c r="I362" s="25" t="n"/>
      <c r="J362" s="25" t="n"/>
      <c r="K362" s="25" t="n"/>
      <c r="L362" s="29" t="n"/>
      <c r="M362" s="25" t="n"/>
      <c r="N362" s="30" t="n"/>
      <c r="O362" s="31">
        <f>IF(N362="","",IF(G362="Revenue",ROUND(N362*VATRate,2),0))</f>
        <v/>
      </c>
      <c r="P362" s="31">
        <f>IF(N362="","",N362+O362)</f>
        <v/>
      </c>
    </row>
    <row r="363">
      <c r="A363" s="26" t="n"/>
      <c r="B363" s="27">
        <f>IF(A363="","",IF(OR(A363&lt;MIN(Lists!$C$4:$C$15),A363&gt;MAX(Lists!$D$4:$D$15)),"No period",INDEX(Lists!$B$4:$B$15,MATCH(A363,Lists!$C$4:$C$15,1))))</f>
        <v/>
      </c>
      <c r="C363" s="28">
        <f>IF(B363="","",IFERROR(INDEX(Lists!$A$4:$A$15,MATCH(B363,Lists!$B$4:$B$15,0)),0))</f>
        <v/>
      </c>
      <c r="D363" s="25" t="n"/>
      <c r="E363" s="24" t="n"/>
      <c r="F363" s="27">
        <f>IF(E363="","",IFERROR(INDEX(Lists!$H$4:$H$40,MATCH(E363,Lists!$F$4:$F$40,0)),"UNMAPPED"))</f>
        <v/>
      </c>
      <c r="G363" s="25" t="n"/>
      <c r="H363" s="25" t="n"/>
      <c r="I363" s="25" t="n"/>
      <c r="J363" s="25" t="n"/>
      <c r="K363" s="25" t="n"/>
      <c r="L363" s="29" t="n"/>
      <c r="M363" s="25" t="n"/>
      <c r="N363" s="30" t="n"/>
      <c r="O363" s="31">
        <f>IF(N363="","",IF(G363="Revenue",ROUND(N363*VATRate,2),0))</f>
        <v/>
      </c>
      <c r="P363" s="31">
        <f>IF(N363="","",N363+O363)</f>
        <v/>
      </c>
    </row>
    <row r="364">
      <c r="A364" s="26" t="n"/>
      <c r="B364" s="27">
        <f>IF(A364="","",IF(OR(A364&lt;MIN(Lists!$C$4:$C$15),A364&gt;MAX(Lists!$D$4:$D$15)),"No period",INDEX(Lists!$B$4:$B$15,MATCH(A364,Lists!$C$4:$C$15,1))))</f>
        <v/>
      </c>
      <c r="C364" s="28">
        <f>IF(B364="","",IFERROR(INDEX(Lists!$A$4:$A$15,MATCH(B364,Lists!$B$4:$B$15,0)),0))</f>
        <v/>
      </c>
      <c r="D364" s="25" t="n"/>
      <c r="E364" s="24" t="n"/>
      <c r="F364" s="27">
        <f>IF(E364="","",IFERROR(INDEX(Lists!$H$4:$H$40,MATCH(E364,Lists!$F$4:$F$40,0)),"UNMAPPED"))</f>
        <v/>
      </c>
      <c r="G364" s="25" t="n"/>
      <c r="H364" s="25" t="n"/>
      <c r="I364" s="25" t="n"/>
      <c r="J364" s="25" t="n"/>
      <c r="K364" s="25" t="n"/>
      <c r="L364" s="29" t="n"/>
      <c r="M364" s="25" t="n"/>
      <c r="N364" s="30" t="n"/>
      <c r="O364" s="31">
        <f>IF(N364="","",IF(G364="Revenue",ROUND(N364*VATRate,2),0))</f>
        <v/>
      </c>
      <c r="P364" s="31">
        <f>IF(N364="","",N364+O364)</f>
        <v/>
      </c>
    </row>
    <row r="365">
      <c r="A365" s="26" t="n"/>
      <c r="B365" s="27">
        <f>IF(A365="","",IF(OR(A365&lt;MIN(Lists!$C$4:$C$15),A365&gt;MAX(Lists!$D$4:$D$15)),"No period",INDEX(Lists!$B$4:$B$15,MATCH(A365,Lists!$C$4:$C$15,1))))</f>
        <v/>
      </c>
      <c r="C365" s="28">
        <f>IF(B365="","",IFERROR(INDEX(Lists!$A$4:$A$15,MATCH(B365,Lists!$B$4:$B$15,0)),0))</f>
        <v/>
      </c>
      <c r="D365" s="25" t="n"/>
      <c r="E365" s="24" t="n"/>
      <c r="F365" s="27">
        <f>IF(E365="","",IFERROR(INDEX(Lists!$H$4:$H$40,MATCH(E365,Lists!$F$4:$F$40,0)),"UNMAPPED"))</f>
        <v/>
      </c>
      <c r="G365" s="25" t="n"/>
      <c r="H365" s="25" t="n"/>
      <c r="I365" s="25" t="n"/>
      <c r="J365" s="25" t="n"/>
      <c r="K365" s="25" t="n"/>
      <c r="L365" s="29" t="n"/>
      <c r="M365" s="25" t="n"/>
      <c r="N365" s="30" t="n"/>
      <c r="O365" s="31">
        <f>IF(N365="","",IF(G365="Revenue",ROUND(N365*VATRate,2),0))</f>
        <v/>
      </c>
      <c r="P365" s="31">
        <f>IF(N365="","",N365+O365)</f>
        <v/>
      </c>
    </row>
    <row r="366">
      <c r="A366" s="26" t="n"/>
      <c r="B366" s="27">
        <f>IF(A366="","",IF(OR(A366&lt;MIN(Lists!$C$4:$C$15),A366&gt;MAX(Lists!$D$4:$D$15)),"No period",INDEX(Lists!$B$4:$B$15,MATCH(A366,Lists!$C$4:$C$15,1))))</f>
        <v/>
      </c>
      <c r="C366" s="28">
        <f>IF(B366="","",IFERROR(INDEX(Lists!$A$4:$A$15,MATCH(B366,Lists!$B$4:$B$15,0)),0))</f>
        <v/>
      </c>
      <c r="D366" s="25" t="n"/>
      <c r="E366" s="24" t="n"/>
      <c r="F366" s="27">
        <f>IF(E366="","",IFERROR(INDEX(Lists!$H$4:$H$40,MATCH(E366,Lists!$F$4:$F$40,0)),"UNMAPPED"))</f>
        <v/>
      </c>
      <c r="G366" s="25" t="n"/>
      <c r="H366" s="25" t="n"/>
      <c r="I366" s="25" t="n"/>
      <c r="J366" s="25" t="n"/>
      <c r="K366" s="25" t="n"/>
      <c r="L366" s="29" t="n"/>
      <c r="M366" s="25" t="n"/>
      <c r="N366" s="30" t="n"/>
      <c r="O366" s="31">
        <f>IF(N366="","",IF(G366="Revenue",ROUND(N366*VATRate,2),0))</f>
        <v/>
      </c>
      <c r="P366" s="31">
        <f>IF(N366="","",N366+O366)</f>
        <v/>
      </c>
    </row>
    <row r="367">
      <c r="A367" s="26" t="n"/>
      <c r="B367" s="27">
        <f>IF(A367="","",IF(OR(A367&lt;MIN(Lists!$C$4:$C$15),A367&gt;MAX(Lists!$D$4:$D$15)),"No period",INDEX(Lists!$B$4:$B$15,MATCH(A367,Lists!$C$4:$C$15,1))))</f>
        <v/>
      </c>
      <c r="C367" s="28">
        <f>IF(B367="","",IFERROR(INDEX(Lists!$A$4:$A$15,MATCH(B367,Lists!$B$4:$B$15,0)),0))</f>
        <v/>
      </c>
      <c r="D367" s="25" t="n"/>
      <c r="E367" s="24" t="n"/>
      <c r="F367" s="27">
        <f>IF(E367="","",IFERROR(INDEX(Lists!$H$4:$H$40,MATCH(E367,Lists!$F$4:$F$40,0)),"UNMAPPED"))</f>
        <v/>
      </c>
      <c r="G367" s="25" t="n"/>
      <c r="H367" s="25" t="n"/>
      <c r="I367" s="25" t="n"/>
      <c r="J367" s="25" t="n"/>
      <c r="K367" s="25" t="n"/>
      <c r="L367" s="29" t="n"/>
      <c r="M367" s="25" t="n"/>
      <c r="N367" s="30" t="n"/>
      <c r="O367" s="31">
        <f>IF(N367="","",IF(G367="Revenue",ROUND(N367*VATRate,2),0))</f>
        <v/>
      </c>
      <c r="P367" s="31">
        <f>IF(N367="","",N367+O367)</f>
        <v/>
      </c>
    </row>
    <row r="368">
      <c r="A368" s="26" t="n"/>
      <c r="B368" s="27">
        <f>IF(A368="","",IF(OR(A368&lt;MIN(Lists!$C$4:$C$15),A368&gt;MAX(Lists!$D$4:$D$15)),"No period",INDEX(Lists!$B$4:$B$15,MATCH(A368,Lists!$C$4:$C$15,1))))</f>
        <v/>
      </c>
      <c r="C368" s="28">
        <f>IF(B368="","",IFERROR(INDEX(Lists!$A$4:$A$15,MATCH(B368,Lists!$B$4:$B$15,0)),0))</f>
        <v/>
      </c>
      <c r="D368" s="25" t="n"/>
      <c r="E368" s="24" t="n"/>
      <c r="F368" s="27">
        <f>IF(E368="","",IFERROR(INDEX(Lists!$H$4:$H$40,MATCH(E368,Lists!$F$4:$F$40,0)),"UNMAPPED"))</f>
        <v/>
      </c>
      <c r="G368" s="25" t="n"/>
      <c r="H368" s="25" t="n"/>
      <c r="I368" s="25" t="n"/>
      <c r="J368" s="25" t="n"/>
      <c r="K368" s="25" t="n"/>
      <c r="L368" s="29" t="n"/>
      <c r="M368" s="25" t="n"/>
      <c r="N368" s="30" t="n"/>
      <c r="O368" s="31">
        <f>IF(N368="","",IF(G368="Revenue",ROUND(N368*VATRate,2),0))</f>
        <v/>
      </c>
      <c r="P368" s="31">
        <f>IF(N368="","",N368+O368)</f>
        <v/>
      </c>
    </row>
    <row r="369">
      <c r="A369" s="26" t="n"/>
      <c r="B369" s="27">
        <f>IF(A369="","",IF(OR(A369&lt;MIN(Lists!$C$4:$C$15),A369&gt;MAX(Lists!$D$4:$D$15)),"No period",INDEX(Lists!$B$4:$B$15,MATCH(A369,Lists!$C$4:$C$15,1))))</f>
        <v/>
      </c>
      <c r="C369" s="28">
        <f>IF(B369="","",IFERROR(INDEX(Lists!$A$4:$A$15,MATCH(B369,Lists!$B$4:$B$15,0)),0))</f>
        <v/>
      </c>
      <c r="D369" s="25" t="n"/>
      <c r="E369" s="24" t="n"/>
      <c r="F369" s="27">
        <f>IF(E369="","",IFERROR(INDEX(Lists!$H$4:$H$40,MATCH(E369,Lists!$F$4:$F$40,0)),"UNMAPPED"))</f>
        <v/>
      </c>
      <c r="G369" s="25" t="n"/>
      <c r="H369" s="25" t="n"/>
      <c r="I369" s="25" t="n"/>
      <c r="J369" s="25" t="n"/>
      <c r="K369" s="25" t="n"/>
      <c r="L369" s="29" t="n"/>
      <c r="M369" s="25" t="n"/>
      <c r="N369" s="30" t="n"/>
      <c r="O369" s="31">
        <f>IF(N369="","",IF(G369="Revenue",ROUND(N369*VATRate,2),0))</f>
        <v/>
      </c>
      <c r="P369" s="31">
        <f>IF(N369="","",N369+O369)</f>
        <v/>
      </c>
    </row>
    <row r="370">
      <c r="A370" s="26" t="n"/>
      <c r="B370" s="27">
        <f>IF(A370="","",IF(OR(A370&lt;MIN(Lists!$C$4:$C$15),A370&gt;MAX(Lists!$D$4:$D$15)),"No period",INDEX(Lists!$B$4:$B$15,MATCH(A370,Lists!$C$4:$C$15,1))))</f>
        <v/>
      </c>
      <c r="C370" s="28">
        <f>IF(B370="","",IFERROR(INDEX(Lists!$A$4:$A$15,MATCH(B370,Lists!$B$4:$B$15,0)),0))</f>
        <v/>
      </c>
      <c r="D370" s="25" t="n"/>
      <c r="E370" s="24" t="n"/>
      <c r="F370" s="27">
        <f>IF(E370="","",IFERROR(INDEX(Lists!$H$4:$H$40,MATCH(E370,Lists!$F$4:$F$40,0)),"UNMAPPED"))</f>
        <v/>
      </c>
      <c r="G370" s="25" t="n"/>
      <c r="H370" s="25" t="n"/>
      <c r="I370" s="25" t="n"/>
      <c r="J370" s="25" t="n"/>
      <c r="K370" s="25" t="n"/>
      <c r="L370" s="29" t="n"/>
      <c r="M370" s="25" t="n"/>
      <c r="N370" s="30" t="n"/>
      <c r="O370" s="31">
        <f>IF(N370="","",IF(G370="Revenue",ROUND(N370*VATRate,2),0))</f>
        <v/>
      </c>
      <c r="P370" s="31">
        <f>IF(N370="","",N370+O370)</f>
        <v/>
      </c>
    </row>
    <row r="371">
      <c r="A371" s="26" t="n"/>
      <c r="B371" s="27">
        <f>IF(A371="","",IF(OR(A371&lt;MIN(Lists!$C$4:$C$15),A371&gt;MAX(Lists!$D$4:$D$15)),"No period",INDEX(Lists!$B$4:$B$15,MATCH(A371,Lists!$C$4:$C$15,1))))</f>
        <v/>
      </c>
      <c r="C371" s="28">
        <f>IF(B371="","",IFERROR(INDEX(Lists!$A$4:$A$15,MATCH(B371,Lists!$B$4:$B$15,0)),0))</f>
        <v/>
      </c>
      <c r="D371" s="25" t="n"/>
      <c r="E371" s="24" t="n"/>
      <c r="F371" s="27">
        <f>IF(E371="","",IFERROR(INDEX(Lists!$H$4:$H$40,MATCH(E371,Lists!$F$4:$F$40,0)),"UNMAPPED"))</f>
        <v/>
      </c>
      <c r="G371" s="25" t="n"/>
      <c r="H371" s="25" t="n"/>
      <c r="I371" s="25" t="n"/>
      <c r="J371" s="25" t="n"/>
      <c r="K371" s="25" t="n"/>
      <c r="L371" s="29" t="n"/>
      <c r="M371" s="25" t="n"/>
      <c r="N371" s="30" t="n"/>
      <c r="O371" s="31">
        <f>IF(N371="","",IF(G371="Revenue",ROUND(N371*VATRate,2),0))</f>
        <v/>
      </c>
      <c r="P371" s="31">
        <f>IF(N371="","",N371+O371)</f>
        <v/>
      </c>
    </row>
    <row r="372">
      <c r="A372" s="26" t="n"/>
      <c r="B372" s="27">
        <f>IF(A372="","",IF(OR(A372&lt;MIN(Lists!$C$4:$C$15),A372&gt;MAX(Lists!$D$4:$D$15)),"No period",INDEX(Lists!$B$4:$B$15,MATCH(A372,Lists!$C$4:$C$15,1))))</f>
        <v/>
      </c>
      <c r="C372" s="28">
        <f>IF(B372="","",IFERROR(INDEX(Lists!$A$4:$A$15,MATCH(B372,Lists!$B$4:$B$15,0)),0))</f>
        <v/>
      </c>
      <c r="D372" s="25" t="n"/>
      <c r="E372" s="24" t="n"/>
      <c r="F372" s="27">
        <f>IF(E372="","",IFERROR(INDEX(Lists!$H$4:$H$40,MATCH(E372,Lists!$F$4:$F$40,0)),"UNMAPPED"))</f>
        <v/>
      </c>
      <c r="G372" s="25" t="n"/>
      <c r="H372" s="25" t="n"/>
      <c r="I372" s="25" t="n"/>
      <c r="J372" s="25" t="n"/>
      <c r="K372" s="25" t="n"/>
      <c r="L372" s="29" t="n"/>
      <c r="M372" s="25" t="n"/>
      <c r="N372" s="30" t="n"/>
      <c r="O372" s="31">
        <f>IF(N372="","",IF(G372="Revenue",ROUND(N372*VATRate,2),0))</f>
        <v/>
      </c>
      <c r="P372" s="31">
        <f>IF(N372="","",N372+O372)</f>
        <v/>
      </c>
    </row>
    <row r="373">
      <c r="A373" s="26" t="n"/>
      <c r="B373" s="27">
        <f>IF(A373="","",IF(OR(A373&lt;MIN(Lists!$C$4:$C$15),A373&gt;MAX(Lists!$D$4:$D$15)),"No period",INDEX(Lists!$B$4:$B$15,MATCH(A373,Lists!$C$4:$C$15,1))))</f>
        <v/>
      </c>
      <c r="C373" s="28">
        <f>IF(B373="","",IFERROR(INDEX(Lists!$A$4:$A$15,MATCH(B373,Lists!$B$4:$B$15,0)),0))</f>
        <v/>
      </c>
      <c r="D373" s="25" t="n"/>
      <c r="E373" s="24" t="n"/>
      <c r="F373" s="27">
        <f>IF(E373="","",IFERROR(INDEX(Lists!$H$4:$H$40,MATCH(E373,Lists!$F$4:$F$40,0)),"UNMAPPED"))</f>
        <v/>
      </c>
      <c r="G373" s="25" t="n"/>
      <c r="H373" s="25" t="n"/>
      <c r="I373" s="25" t="n"/>
      <c r="J373" s="25" t="n"/>
      <c r="K373" s="25" t="n"/>
      <c r="L373" s="29" t="n"/>
      <c r="M373" s="25" t="n"/>
      <c r="N373" s="30" t="n"/>
      <c r="O373" s="31">
        <f>IF(N373="","",IF(G373="Revenue",ROUND(N373*VATRate,2),0))</f>
        <v/>
      </c>
      <c r="P373" s="31">
        <f>IF(N373="","",N373+O373)</f>
        <v/>
      </c>
    </row>
    <row r="374">
      <c r="A374" s="26" t="n"/>
      <c r="B374" s="27">
        <f>IF(A374="","",IF(OR(A374&lt;MIN(Lists!$C$4:$C$15),A374&gt;MAX(Lists!$D$4:$D$15)),"No period",INDEX(Lists!$B$4:$B$15,MATCH(A374,Lists!$C$4:$C$15,1))))</f>
        <v/>
      </c>
      <c r="C374" s="28">
        <f>IF(B374="","",IFERROR(INDEX(Lists!$A$4:$A$15,MATCH(B374,Lists!$B$4:$B$15,0)),0))</f>
        <v/>
      </c>
      <c r="D374" s="25" t="n"/>
      <c r="E374" s="24" t="n"/>
      <c r="F374" s="27">
        <f>IF(E374="","",IFERROR(INDEX(Lists!$H$4:$H$40,MATCH(E374,Lists!$F$4:$F$40,0)),"UNMAPPED"))</f>
        <v/>
      </c>
      <c r="G374" s="25" t="n"/>
      <c r="H374" s="25" t="n"/>
      <c r="I374" s="25" t="n"/>
      <c r="J374" s="25" t="n"/>
      <c r="K374" s="25" t="n"/>
      <c r="L374" s="29" t="n"/>
      <c r="M374" s="25" t="n"/>
      <c r="N374" s="30" t="n"/>
      <c r="O374" s="31">
        <f>IF(N374="","",IF(G374="Revenue",ROUND(N374*VATRate,2),0))</f>
        <v/>
      </c>
      <c r="P374" s="31">
        <f>IF(N374="","",N374+O374)</f>
        <v/>
      </c>
    </row>
    <row r="375">
      <c r="A375" s="26" t="n"/>
      <c r="B375" s="27">
        <f>IF(A375="","",IF(OR(A375&lt;MIN(Lists!$C$4:$C$15),A375&gt;MAX(Lists!$D$4:$D$15)),"No period",INDEX(Lists!$B$4:$B$15,MATCH(A375,Lists!$C$4:$C$15,1))))</f>
        <v/>
      </c>
      <c r="C375" s="28">
        <f>IF(B375="","",IFERROR(INDEX(Lists!$A$4:$A$15,MATCH(B375,Lists!$B$4:$B$15,0)),0))</f>
        <v/>
      </c>
      <c r="D375" s="25" t="n"/>
      <c r="E375" s="24" t="n"/>
      <c r="F375" s="27">
        <f>IF(E375="","",IFERROR(INDEX(Lists!$H$4:$H$40,MATCH(E375,Lists!$F$4:$F$40,0)),"UNMAPPED"))</f>
        <v/>
      </c>
      <c r="G375" s="25" t="n"/>
      <c r="H375" s="25" t="n"/>
      <c r="I375" s="25" t="n"/>
      <c r="J375" s="25" t="n"/>
      <c r="K375" s="25" t="n"/>
      <c r="L375" s="29" t="n"/>
      <c r="M375" s="25" t="n"/>
      <c r="N375" s="30" t="n"/>
      <c r="O375" s="31">
        <f>IF(N375="","",IF(G375="Revenue",ROUND(N375*VATRate,2),0))</f>
        <v/>
      </c>
      <c r="P375" s="31">
        <f>IF(N375="","",N375+O375)</f>
        <v/>
      </c>
    </row>
    <row r="376">
      <c r="A376" s="26" t="n"/>
      <c r="B376" s="27">
        <f>IF(A376="","",IF(OR(A376&lt;MIN(Lists!$C$4:$C$15),A376&gt;MAX(Lists!$D$4:$D$15)),"No period",INDEX(Lists!$B$4:$B$15,MATCH(A376,Lists!$C$4:$C$15,1))))</f>
        <v/>
      </c>
      <c r="C376" s="28">
        <f>IF(B376="","",IFERROR(INDEX(Lists!$A$4:$A$15,MATCH(B376,Lists!$B$4:$B$15,0)),0))</f>
        <v/>
      </c>
      <c r="D376" s="25" t="n"/>
      <c r="E376" s="24" t="n"/>
      <c r="F376" s="27">
        <f>IF(E376="","",IFERROR(INDEX(Lists!$H$4:$H$40,MATCH(E376,Lists!$F$4:$F$40,0)),"UNMAPPED"))</f>
        <v/>
      </c>
      <c r="G376" s="25" t="n"/>
      <c r="H376" s="25" t="n"/>
      <c r="I376" s="25" t="n"/>
      <c r="J376" s="25" t="n"/>
      <c r="K376" s="25" t="n"/>
      <c r="L376" s="29" t="n"/>
      <c r="M376" s="25" t="n"/>
      <c r="N376" s="30" t="n"/>
      <c r="O376" s="31">
        <f>IF(N376="","",IF(G376="Revenue",ROUND(N376*VATRate,2),0))</f>
        <v/>
      </c>
      <c r="P376" s="31">
        <f>IF(N376="","",N376+O376)</f>
        <v/>
      </c>
    </row>
    <row r="377">
      <c r="A377" s="26" t="n"/>
      <c r="B377" s="27">
        <f>IF(A377="","",IF(OR(A377&lt;MIN(Lists!$C$4:$C$15),A377&gt;MAX(Lists!$D$4:$D$15)),"No period",INDEX(Lists!$B$4:$B$15,MATCH(A377,Lists!$C$4:$C$15,1))))</f>
        <v/>
      </c>
      <c r="C377" s="28">
        <f>IF(B377="","",IFERROR(INDEX(Lists!$A$4:$A$15,MATCH(B377,Lists!$B$4:$B$15,0)),0))</f>
        <v/>
      </c>
      <c r="D377" s="25" t="n"/>
      <c r="E377" s="24" t="n"/>
      <c r="F377" s="27">
        <f>IF(E377="","",IFERROR(INDEX(Lists!$H$4:$H$40,MATCH(E377,Lists!$F$4:$F$40,0)),"UNMAPPED"))</f>
        <v/>
      </c>
      <c r="G377" s="25" t="n"/>
      <c r="H377" s="25" t="n"/>
      <c r="I377" s="25" t="n"/>
      <c r="J377" s="25" t="n"/>
      <c r="K377" s="25" t="n"/>
      <c r="L377" s="29" t="n"/>
      <c r="M377" s="25" t="n"/>
      <c r="N377" s="30" t="n"/>
      <c r="O377" s="31">
        <f>IF(N377="","",IF(G377="Revenue",ROUND(N377*VATRate,2),0))</f>
        <v/>
      </c>
      <c r="P377" s="31">
        <f>IF(N377="","",N377+O377)</f>
        <v/>
      </c>
    </row>
    <row r="378">
      <c r="A378" s="26" t="n"/>
      <c r="B378" s="27">
        <f>IF(A378="","",IF(OR(A378&lt;MIN(Lists!$C$4:$C$15),A378&gt;MAX(Lists!$D$4:$D$15)),"No period",INDEX(Lists!$B$4:$B$15,MATCH(A378,Lists!$C$4:$C$15,1))))</f>
        <v/>
      </c>
      <c r="C378" s="28">
        <f>IF(B378="","",IFERROR(INDEX(Lists!$A$4:$A$15,MATCH(B378,Lists!$B$4:$B$15,0)),0))</f>
        <v/>
      </c>
      <c r="D378" s="25" t="n"/>
      <c r="E378" s="24" t="n"/>
      <c r="F378" s="27">
        <f>IF(E378="","",IFERROR(INDEX(Lists!$H$4:$H$40,MATCH(E378,Lists!$F$4:$F$40,0)),"UNMAPPED"))</f>
        <v/>
      </c>
      <c r="G378" s="25" t="n"/>
      <c r="H378" s="25" t="n"/>
      <c r="I378" s="25" t="n"/>
      <c r="J378" s="25" t="n"/>
      <c r="K378" s="25" t="n"/>
      <c r="L378" s="29" t="n"/>
      <c r="M378" s="25" t="n"/>
      <c r="N378" s="30" t="n"/>
      <c r="O378" s="31">
        <f>IF(N378="","",IF(G378="Revenue",ROUND(N378*VATRate,2),0))</f>
        <v/>
      </c>
      <c r="P378" s="31">
        <f>IF(N378="","",N378+O378)</f>
        <v/>
      </c>
    </row>
    <row r="379">
      <c r="A379" s="26" t="n"/>
      <c r="B379" s="27">
        <f>IF(A379="","",IF(OR(A379&lt;MIN(Lists!$C$4:$C$15),A379&gt;MAX(Lists!$D$4:$D$15)),"No period",INDEX(Lists!$B$4:$B$15,MATCH(A379,Lists!$C$4:$C$15,1))))</f>
        <v/>
      </c>
      <c r="C379" s="28">
        <f>IF(B379="","",IFERROR(INDEX(Lists!$A$4:$A$15,MATCH(B379,Lists!$B$4:$B$15,0)),0))</f>
        <v/>
      </c>
      <c r="D379" s="25" t="n"/>
      <c r="E379" s="24" t="n"/>
      <c r="F379" s="27">
        <f>IF(E379="","",IFERROR(INDEX(Lists!$H$4:$H$40,MATCH(E379,Lists!$F$4:$F$40,0)),"UNMAPPED"))</f>
        <v/>
      </c>
      <c r="G379" s="25" t="n"/>
      <c r="H379" s="25" t="n"/>
      <c r="I379" s="25" t="n"/>
      <c r="J379" s="25" t="n"/>
      <c r="K379" s="25" t="n"/>
      <c r="L379" s="29" t="n"/>
      <c r="M379" s="25" t="n"/>
      <c r="N379" s="30" t="n"/>
      <c r="O379" s="31">
        <f>IF(N379="","",IF(G379="Revenue",ROUND(N379*VATRate,2),0))</f>
        <v/>
      </c>
      <c r="P379" s="31">
        <f>IF(N379="","",N379+O379)</f>
        <v/>
      </c>
    </row>
    <row r="380">
      <c r="A380" s="26" t="n"/>
      <c r="B380" s="27">
        <f>IF(A380="","",IF(OR(A380&lt;MIN(Lists!$C$4:$C$15),A380&gt;MAX(Lists!$D$4:$D$15)),"No period",INDEX(Lists!$B$4:$B$15,MATCH(A380,Lists!$C$4:$C$15,1))))</f>
        <v/>
      </c>
      <c r="C380" s="28">
        <f>IF(B380="","",IFERROR(INDEX(Lists!$A$4:$A$15,MATCH(B380,Lists!$B$4:$B$15,0)),0))</f>
        <v/>
      </c>
      <c r="D380" s="25" t="n"/>
      <c r="E380" s="24" t="n"/>
      <c r="F380" s="27">
        <f>IF(E380="","",IFERROR(INDEX(Lists!$H$4:$H$40,MATCH(E380,Lists!$F$4:$F$40,0)),"UNMAPPED"))</f>
        <v/>
      </c>
      <c r="G380" s="25" t="n"/>
      <c r="H380" s="25" t="n"/>
      <c r="I380" s="25" t="n"/>
      <c r="J380" s="25" t="n"/>
      <c r="K380" s="25" t="n"/>
      <c r="L380" s="29" t="n"/>
      <c r="M380" s="25" t="n"/>
      <c r="N380" s="30" t="n"/>
      <c r="O380" s="31">
        <f>IF(N380="","",IF(G380="Revenue",ROUND(N380*VATRate,2),0))</f>
        <v/>
      </c>
      <c r="P380" s="31">
        <f>IF(N380="","",N380+O380)</f>
        <v/>
      </c>
    </row>
    <row r="381">
      <c r="A381" s="26" t="n"/>
      <c r="B381" s="27">
        <f>IF(A381="","",IF(OR(A381&lt;MIN(Lists!$C$4:$C$15),A381&gt;MAX(Lists!$D$4:$D$15)),"No period",INDEX(Lists!$B$4:$B$15,MATCH(A381,Lists!$C$4:$C$15,1))))</f>
        <v/>
      </c>
      <c r="C381" s="28">
        <f>IF(B381="","",IFERROR(INDEX(Lists!$A$4:$A$15,MATCH(B381,Lists!$B$4:$B$15,0)),0))</f>
        <v/>
      </c>
      <c r="D381" s="25" t="n"/>
      <c r="E381" s="24" t="n"/>
      <c r="F381" s="27">
        <f>IF(E381="","",IFERROR(INDEX(Lists!$H$4:$H$40,MATCH(E381,Lists!$F$4:$F$40,0)),"UNMAPPED"))</f>
        <v/>
      </c>
      <c r="G381" s="25" t="n"/>
      <c r="H381" s="25" t="n"/>
      <c r="I381" s="25" t="n"/>
      <c r="J381" s="25" t="n"/>
      <c r="K381" s="25" t="n"/>
      <c r="L381" s="29" t="n"/>
      <c r="M381" s="25" t="n"/>
      <c r="N381" s="30" t="n"/>
      <c r="O381" s="31">
        <f>IF(N381="","",IF(G381="Revenue",ROUND(N381*VATRate,2),0))</f>
        <v/>
      </c>
      <c r="P381" s="31">
        <f>IF(N381="","",N381+O381)</f>
        <v/>
      </c>
    </row>
    <row r="382">
      <c r="A382" s="26" t="n"/>
      <c r="B382" s="27">
        <f>IF(A382="","",IF(OR(A382&lt;MIN(Lists!$C$4:$C$15),A382&gt;MAX(Lists!$D$4:$D$15)),"No period",INDEX(Lists!$B$4:$B$15,MATCH(A382,Lists!$C$4:$C$15,1))))</f>
        <v/>
      </c>
      <c r="C382" s="28">
        <f>IF(B382="","",IFERROR(INDEX(Lists!$A$4:$A$15,MATCH(B382,Lists!$B$4:$B$15,0)),0))</f>
        <v/>
      </c>
      <c r="D382" s="25" t="n"/>
      <c r="E382" s="24" t="n"/>
      <c r="F382" s="27">
        <f>IF(E382="","",IFERROR(INDEX(Lists!$H$4:$H$40,MATCH(E382,Lists!$F$4:$F$40,0)),"UNMAPPED"))</f>
        <v/>
      </c>
      <c r="G382" s="25" t="n"/>
      <c r="H382" s="25" t="n"/>
      <c r="I382" s="25" t="n"/>
      <c r="J382" s="25" t="n"/>
      <c r="K382" s="25" t="n"/>
      <c r="L382" s="29" t="n"/>
      <c r="M382" s="25" t="n"/>
      <c r="N382" s="30" t="n"/>
      <c r="O382" s="31">
        <f>IF(N382="","",IF(G382="Revenue",ROUND(N382*VATRate,2),0))</f>
        <v/>
      </c>
      <c r="P382" s="31">
        <f>IF(N382="","",N382+O382)</f>
        <v/>
      </c>
    </row>
    <row r="383">
      <c r="A383" s="26" t="n"/>
      <c r="B383" s="27">
        <f>IF(A383="","",IF(OR(A383&lt;MIN(Lists!$C$4:$C$15),A383&gt;MAX(Lists!$D$4:$D$15)),"No period",INDEX(Lists!$B$4:$B$15,MATCH(A383,Lists!$C$4:$C$15,1))))</f>
        <v/>
      </c>
      <c r="C383" s="28">
        <f>IF(B383="","",IFERROR(INDEX(Lists!$A$4:$A$15,MATCH(B383,Lists!$B$4:$B$15,0)),0))</f>
        <v/>
      </c>
      <c r="D383" s="25" t="n"/>
      <c r="E383" s="24" t="n"/>
      <c r="F383" s="27">
        <f>IF(E383="","",IFERROR(INDEX(Lists!$H$4:$H$40,MATCH(E383,Lists!$F$4:$F$40,0)),"UNMAPPED"))</f>
        <v/>
      </c>
      <c r="G383" s="25" t="n"/>
      <c r="H383" s="25" t="n"/>
      <c r="I383" s="25" t="n"/>
      <c r="J383" s="25" t="n"/>
      <c r="K383" s="25" t="n"/>
      <c r="L383" s="29" t="n"/>
      <c r="M383" s="25" t="n"/>
      <c r="N383" s="30" t="n"/>
      <c r="O383" s="31">
        <f>IF(N383="","",IF(G383="Revenue",ROUND(N383*VATRate,2),0))</f>
        <v/>
      </c>
      <c r="P383" s="31">
        <f>IF(N383="","",N383+O383)</f>
        <v/>
      </c>
    </row>
    <row r="384">
      <c r="A384" s="26" t="n"/>
      <c r="B384" s="27">
        <f>IF(A384="","",IF(OR(A384&lt;MIN(Lists!$C$4:$C$15),A384&gt;MAX(Lists!$D$4:$D$15)),"No period",INDEX(Lists!$B$4:$B$15,MATCH(A384,Lists!$C$4:$C$15,1))))</f>
        <v/>
      </c>
      <c r="C384" s="28">
        <f>IF(B384="","",IFERROR(INDEX(Lists!$A$4:$A$15,MATCH(B384,Lists!$B$4:$B$15,0)),0))</f>
        <v/>
      </c>
      <c r="D384" s="25" t="n"/>
      <c r="E384" s="24" t="n"/>
      <c r="F384" s="27">
        <f>IF(E384="","",IFERROR(INDEX(Lists!$H$4:$H$40,MATCH(E384,Lists!$F$4:$F$40,0)),"UNMAPPED"))</f>
        <v/>
      </c>
      <c r="G384" s="25" t="n"/>
      <c r="H384" s="25" t="n"/>
      <c r="I384" s="25" t="n"/>
      <c r="J384" s="25" t="n"/>
      <c r="K384" s="25" t="n"/>
      <c r="L384" s="29" t="n"/>
      <c r="M384" s="25" t="n"/>
      <c r="N384" s="30" t="n"/>
      <c r="O384" s="31">
        <f>IF(N384="","",IF(G384="Revenue",ROUND(N384*VATRate,2),0))</f>
        <v/>
      </c>
      <c r="P384" s="31">
        <f>IF(N384="","",N384+O384)</f>
        <v/>
      </c>
    </row>
    <row r="385">
      <c r="A385" s="26" t="n"/>
      <c r="B385" s="27">
        <f>IF(A385="","",IF(OR(A385&lt;MIN(Lists!$C$4:$C$15),A385&gt;MAX(Lists!$D$4:$D$15)),"No period",INDEX(Lists!$B$4:$B$15,MATCH(A385,Lists!$C$4:$C$15,1))))</f>
        <v/>
      </c>
      <c r="C385" s="28">
        <f>IF(B385="","",IFERROR(INDEX(Lists!$A$4:$A$15,MATCH(B385,Lists!$B$4:$B$15,0)),0))</f>
        <v/>
      </c>
      <c r="D385" s="25" t="n"/>
      <c r="E385" s="24" t="n"/>
      <c r="F385" s="27">
        <f>IF(E385="","",IFERROR(INDEX(Lists!$H$4:$H$40,MATCH(E385,Lists!$F$4:$F$40,0)),"UNMAPPED"))</f>
        <v/>
      </c>
      <c r="G385" s="25" t="n"/>
      <c r="H385" s="25" t="n"/>
      <c r="I385" s="25" t="n"/>
      <c r="J385" s="25" t="n"/>
      <c r="K385" s="25" t="n"/>
      <c r="L385" s="29" t="n"/>
      <c r="M385" s="25" t="n"/>
      <c r="N385" s="30" t="n"/>
      <c r="O385" s="31">
        <f>IF(N385="","",IF(G385="Revenue",ROUND(N385*VATRate,2),0))</f>
        <v/>
      </c>
      <c r="P385" s="31">
        <f>IF(N385="","",N385+O385)</f>
        <v/>
      </c>
    </row>
    <row r="386">
      <c r="A386" s="26" t="n"/>
      <c r="B386" s="27">
        <f>IF(A386="","",IF(OR(A386&lt;MIN(Lists!$C$4:$C$15),A386&gt;MAX(Lists!$D$4:$D$15)),"No period",INDEX(Lists!$B$4:$B$15,MATCH(A386,Lists!$C$4:$C$15,1))))</f>
        <v/>
      </c>
      <c r="C386" s="28">
        <f>IF(B386="","",IFERROR(INDEX(Lists!$A$4:$A$15,MATCH(B386,Lists!$B$4:$B$15,0)),0))</f>
        <v/>
      </c>
      <c r="D386" s="25" t="n"/>
      <c r="E386" s="24" t="n"/>
      <c r="F386" s="27">
        <f>IF(E386="","",IFERROR(INDEX(Lists!$H$4:$H$40,MATCH(E386,Lists!$F$4:$F$40,0)),"UNMAPPED"))</f>
        <v/>
      </c>
      <c r="G386" s="25" t="n"/>
      <c r="H386" s="25" t="n"/>
      <c r="I386" s="25" t="n"/>
      <c r="J386" s="25" t="n"/>
      <c r="K386" s="25" t="n"/>
      <c r="L386" s="29" t="n"/>
      <c r="M386" s="25" t="n"/>
      <c r="N386" s="30" t="n"/>
      <c r="O386" s="31">
        <f>IF(N386="","",IF(G386="Revenue",ROUND(N386*VATRate,2),0))</f>
        <v/>
      </c>
      <c r="P386" s="31">
        <f>IF(N386="","",N386+O386)</f>
        <v/>
      </c>
    </row>
    <row r="387">
      <c r="A387" s="26" t="n"/>
      <c r="B387" s="27">
        <f>IF(A387="","",IF(OR(A387&lt;MIN(Lists!$C$4:$C$15),A387&gt;MAX(Lists!$D$4:$D$15)),"No period",INDEX(Lists!$B$4:$B$15,MATCH(A387,Lists!$C$4:$C$15,1))))</f>
        <v/>
      </c>
      <c r="C387" s="28">
        <f>IF(B387="","",IFERROR(INDEX(Lists!$A$4:$A$15,MATCH(B387,Lists!$B$4:$B$15,0)),0))</f>
        <v/>
      </c>
      <c r="D387" s="25" t="n"/>
      <c r="E387" s="24" t="n"/>
      <c r="F387" s="27">
        <f>IF(E387="","",IFERROR(INDEX(Lists!$H$4:$H$40,MATCH(E387,Lists!$F$4:$F$40,0)),"UNMAPPED"))</f>
        <v/>
      </c>
      <c r="G387" s="25" t="n"/>
      <c r="H387" s="25" t="n"/>
      <c r="I387" s="25" t="n"/>
      <c r="J387" s="25" t="n"/>
      <c r="K387" s="25" t="n"/>
      <c r="L387" s="29" t="n"/>
      <c r="M387" s="25" t="n"/>
      <c r="N387" s="30" t="n"/>
      <c r="O387" s="31">
        <f>IF(N387="","",IF(G387="Revenue",ROUND(N387*VATRate,2),0))</f>
        <v/>
      </c>
      <c r="P387" s="31">
        <f>IF(N387="","",N387+O387)</f>
        <v/>
      </c>
    </row>
    <row r="388">
      <c r="A388" s="26" t="n"/>
      <c r="B388" s="27">
        <f>IF(A388="","",IF(OR(A388&lt;MIN(Lists!$C$4:$C$15),A388&gt;MAX(Lists!$D$4:$D$15)),"No period",INDEX(Lists!$B$4:$B$15,MATCH(A388,Lists!$C$4:$C$15,1))))</f>
        <v/>
      </c>
      <c r="C388" s="28">
        <f>IF(B388="","",IFERROR(INDEX(Lists!$A$4:$A$15,MATCH(B388,Lists!$B$4:$B$15,0)),0))</f>
        <v/>
      </c>
      <c r="D388" s="25" t="n"/>
      <c r="E388" s="24" t="n"/>
      <c r="F388" s="27">
        <f>IF(E388="","",IFERROR(INDEX(Lists!$H$4:$H$40,MATCH(E388,Lists!$F$4:$F$40,0)),"UNMAPPED"))</f>
        <v/>
      </c>
      <c r="G388" s="25" t="n"/>
      <c r="H388" s="25" t="n"/>
      <c r="I388" s="25" t="n"/>
      <c r="J388" s="25" t="n"/>
      <c r="K388" s="25" t="n"/>
      <c r="L388" s="29" t="n"/>
      <c r="M388" s="25" t="n"/>
      <c r="N388" s="30" t="n"/>
      <c r="O388" s="31">
        <f>IF(N388="","",IF(G388="Revenue",ROUND(N388*VATRate,2),0))</f>
        <v/>
      </c>
      <c r="P388" s="31">
        <f>IF(N388="","",N388+O388)</f>
        <v/>
      </c>
    </row>
    <row r="389">
      <c r="A389" s="26" t="n"/>
      <c r="B389" s="27">
        <f>IF(A389="","",IF(OR(A389&lt;MIN(Lists!$C$4:$C$15),A389&gt;MAX(Lists!$D$4:$D$15)),"No period",INDEX(Lists!$B$4:$B$15,MATCH(A389,Lists!$C$4:$C$15,1))))</f>
        <v/>
      </c>
      <c r="C389" s="28">
        <f>IF(B389="","",IFERROR(INDEX(Lists!$A$4:$A$15,MATCH(B389,Lists!$B$4:$B$15,0)),0))</f>
        <v/>
      </c>
      <c r="D389" s="25" t="n"/>
      <c r="E389" s="24" t="n"/>
      <c r="F389" s="27">
        <f>IF(E389="","",IFERROR(INDEX(Lists!$H$4:$H$40,MATCH(E389,Lists!$F$4:$F$40,0)),"UNMAPPED"))</f>
        <v/>
      </c>
      <c r="G389" s="25" t="n"/>
      <c r="H389" s="25" t="n"/>
      <c r="I389" s="25" t="n"/>
      <c r="J389" s="25" t="n"/>
      <c r="K389" s="25" t="n"/>
      <c r="L389" s="29" t="n"/>
      <c r="M389" s="25" t="n"/>
      <c r="N389" s="30" t="n"/>
      <c r="O389" s="31">
        <f>IF(N389="","",IF(G389="Revenue",ROUND(N389*VATRate,2),0))</f>
        <v/>
      </c>
      <c r="P389" s="31">
        <f>IF(N389="","",N389+O389)</f>
        <v/>
      </c>
    </row>
    <row r="390">
      <c r="A390" s="26" t="n"/>
      <c r="B390" s="27">
        <f>IF(A390="","",IF(OR(A390&lt;MIN(Lists!$C$4:$C$15),A390&gt;MAX(Lists!$D$4:$D$15)),"No period",INDEX(Lists!$B$4:$B$15,MATCH(A390,Lists!$C$4:$C$15,1))))</f>
        <v/>
      </c>
      <c r="C390" s="28">
        <f>IF(B390="","",IFERROR(INDEX(Lists!$A$4:$A$15,MATCH(B390,Lists!$B$4:$B$15,0)),0))</f>
        <v/>
      </c>
      <c r="D390" s="25" t="n"/>
      <c r="E390" s="24" t="n"/>
      <c r="F390" s="27">
        <f>IF(E390="","",IFERROR(INDEX(Lists!$H$4:$H$40,MATCH(E390,Lists!$F$4:$F$40,0)),"UNMAPPED"))</f>
        <v/>
      </c>
      <c r="G390" s="25" t="n"/>
      <c r="H390" s="25" t="n"/>
      <c r="I390" s="25" t="n"/>
      <c r="J390" s="25" t="n"/>
      <c r="K390" s="25" t="n"/>
      <c r="L390" s="29" t="n"/>
      <c r="M390" s="25" t="n"/>
      <c r="N390" s="30" t="n"/>
      <c r="O390" s="31">
        <f>IF(N390="","",IF(G390="Revenue",ROUND(N390*VATRate,2),0))</f>
        <v/>
      </c>
      <c r="P390" s="31">
        <f>IF(N390="","",N390+O390)</f>
        <v/>
      </c>
    </row>
    <row r="391">
      <c r="A391" s="26" t="n"/>
      <c r="B391" s="27">
        <f>IF(A391="","",IF(OR(A391&lt;MIN(Lists!$C$4:$C$15),A391&gt;MAX(Lists!$D$4:$D$15)),"No period",INDEX(Lists!$B$4:$B$15,MATCH(A391,Lists!$C$4:$C$15,1))))</f>
        <v/>
      </c>
      <c r="C391" s="28">
        <f>IF(B391="","",IFERROR(INDEX(Lists!$A$4:$A$15,MATCH(B391,Lists!$B$4:$B$15,0)),0))</f>
        <v/>
      </c>
      <c r="D391" s="25" t="n"/>
      <c r="E391" s="24" t="n"/>
      <c r="F391" s="27">
        <f>IF(E391="","",IFERROR(INDEX(Lists!$H$4:$H$40,MATCH(E391,Lists!$F$4:$F$40,0)),"UNMAPPED"))</f>
        <v/>
      </c>
      <c r="G391" s="25" t="n"/>
      <c r="H391" s="25" t="n"/>
      <c r="I391" s="25" t="n"/>
      <c r="J391" s="25" t="n"/>
      <c r="K391" s="25" t="n"/>
      <c r="L391" s="29" t="n"/>
      <c r="M391" s="25" t="n"/>
      <c r="N391" s="30" t="n"/>
      <c r="O391" s="31">
        <f>IF(N391="","",IF(G391="Revenue",ROUND(N391*VATRate,2),0))</f>
        <v/>
      </c>
      <c r="P391" s="31">
        <f>IF(N391="","",N391+O391)</f>
        <v/>
      </c>
    </row>
    <row r="392">
      <c r="A392" s="26" t="n"/>
      <c r="B392" s="27">
        <f>IF(A392="","",IF(OR(A392&lt;MIN(Lists!$C$4:$C$15),A392&gt;MAX(Lists!$D$4:$D$15)),"No period",INDEX(Lists!$B$4:$B$15,MATCH(A392,Lists!$C$4:$C$15,1))))</f>
        <v/>
      </c>
      <c r="C392" s="28">
        <f>IF(B392="","",IFERROR(INDEX(Lists!$A$4:$A$15,MATCH(B392,Lists!$B$4:$B$15,0)),0))</f>
        <v/>
      </c>
      <c r="D392" s="25" t="n"/>
      <c r="E392" s="24" t="n"/>
      <c r="F392" s="27">
        <f>IF(E392="","",IFERROR(INDEX(Lists!$H$4:$H$40,MATCH(E392,Lists!$F$4:$F$40,0)),"UNMAPPED"))</f>
        <v/>
      </c>
      <c r="G392" s="25" t="n"/>
      <c r="H392" s="25" t="n"/>
      <c r="I392" s="25" t="n"/>
      <c r="J392" s="25" t="n"/>
      <c r="K392" s="25" t="n"/>
      <c r="L392" s="29" t="n"/>
      <c r="M392" s="25" t="n"/>
      <c r="N392" s="30" t="n"/>
      <c r="O392" s="31">
        <f>IF(N392="","",IF(G392="Revenue",ROUND(N392*VATRate,2),0))</f>
        <v/>
      </c>
      <c r="P392" s="31">
        <f>IF(N392="","",N392+O392)</f>
        <v/>
      </c>
    </row>
    <row r="393">
      <c r="A393" s="26" t="n"/>
      <c r="B393" s="27">
        <f>IF(A393="","",IF(OR(A393&lt;MIN(Lists!$C$4:$C$15),A393&gt;MAX(Lists!$D$4:$D$15)),"No period",INDEX(Lists!$B$4:$B$15,MATCH(A393,Lists!$C$4:$C$15,1))))</f>
        <v/>
      </c>
      <c r="C393" s="28">
        <f>IF(B393="","",IFERROR(INDEX(Lists!$A$4:$A$15,MATCH(B393,Lists!$B$4:$B$15,0)),0))</f>
        <v/>
      </c>
      <c r="D393" s="25" t="n"/>
      <c r="E393" s="24" t="n"/>
      <c r="F393" s="27">
        <f>IF(E393="","",IFERROR(INDEX(Lists!$H$4:$H$40,MATCH(E393,Lists!$F$4:$F$40,0)),"UNMAPPED"))</f>
        <v/>
      </c>
      <c r="G393" s="25" t="n"/>
      <c r="H393" s="25" t="n"/>
      <c r="I393" s="25" t="n"/>
      <c r="J393" s="25" t="n"/>
      <c r="K393" s="25" t="n"/>
      <c r="L393" s="29" t="n"/>
      <c r="M393" s="25" t="n"/>
      <c r="N393" s="30" t="n"/>
      <c r="O393" s="31">
        <f>IF(N393="","",IF(G393="Revenue",ROUND(N393*VATRate,2),0))</f>
        <v/>
      </c>
      <c r="P393" s="31">
        <f>IF(N393="","",N393+O393)</f>
        <v/>
      </c>
    </row>
    <row r="394">
      <c r="A394" s="26" t="n"/>
      <c r="B394" s="27">
        <f>IF(A394="","",IF(OR(A394&lt;MIN(Lists!$C$4:$C$15),A394&gt;MAX(Lists!$D$4:$D$15)),"No period",INDEX(Lists!$B$4:$B$15,MATCH(A394,Lists!$C$4:$C$15,1))))</f>
        <v/>
      </c>
      <c r="C394" s="28">
        <f>IF(B394="","",IFERROR(INDEX(Lists!$A$4:$A$15,MATCH(B394,Lists!$B$4:$B$15,0)),0))</f>
        <v/>
      </c>
      <c r="D394" s="25" t="n"/>
      <c r="E394" s="24" t="n"/>
      <c r="F394" s="27">
        <f>IF(E394="","",IFERROR(INDEX(Lists!$H$4:$H$40,MATCH(E394,Lists!$F$4:$F$40,0)),"UNMAPPED"))</f>
        <v/>
      </c>
      <c r="G394" s="25" t="n"/>
      <c r="H394" s="25" t="n"/>
      <c r="I394" s="25" t="n"/>
      <c r="J394" s="25" t="n"/>
      <c r="K394" s="25" t="n"/>
      <c r="L394" s="29" t="n"/>
      <c r="M394" s="25" t="n"/>
      <c r="N394" s="30" t="n"/>
      <c r="O394" s="31">
        <f>IF(N394="","",IF(G394="Revenue",ROUND(N394*VATRate,2),0))</f>
        <v/>
      </c>
      <c r="P394" s="31">
        <f>IF(N394="","",N394+O394)</f>
        <v/>
      </c>
    </row>
    <row r="395">
      <c r="A395" s="26" t="n"/>
      <c r="B395" s="27">
        <f>IF(A395="","",IF(OR(A395&lt;MIN(Lists!$C$4:$C$15),A395&gt;MAX(Lists!$D$4:$D$15)),"No period",INDEX(Lists!$B$4:$B$15,MATCH(A395,Lists!$C$4:$C$15,1))))</f>
        <v/>
      </c>
      <c r="C395" s="28">
        <f>IF(B395="","",IFERROR(INDEX(Lists!$A$4:$A$15,MATCH(B395,Lists!$B$4:$B$15,0)),0))</f>
        <v/>
      </c>
      <c r="D395" s="25" t="n"/>
      <c r="E395" s="24" t="n"/>
      <c r="F395" s="27">
        <f>IF(E395="","",IFERROR(INDEX(Lists!$H$4:$H$40,MATCH(E395,Lists!$F$4:$F$40,0)),"UNMAPPED"))</f>
        <v/>
      </c>
      <c r="G395" s="25" t="n"/>
      <c r="H395" s="25" t="n"/>
      <c r="I395" s="25" t="n"/>
      <c r="J395" s="25" t="n"/>
      <c r="K395" s="25" t="n"/>
      <c r="L395" s="29" t="n"/>
      <c r="M395" s="25" t="n"/>
      <c r="N395" s="30" t="n"/>
      <c r="O395" s="31">
        <f>IF(N395="","",IF(G395="Revenue",ROUND(N395*VATRate,2),0))</f>
        <v/>
      </c>
      <c r="P395" s="31">
        <f>IF(N395="","",N395+O395)</f>
        <v/>
      </c>
    </row>
    <row r="396">
      <c r="A396" s="26" t="n"/>
      <c r="B396" s="27">
        <f>IF(A396="","",IF(OR(A396&lt;MIN(Lists!$C$4:$C$15),A396&gt;MAX(Lists!$D$4:$D$15)),"No period",INDEX(Lists!$B$4:$B$15,MATCH(A396,Lists!$C$4:$C$15,1))))</f>
        <v/>
      </c>
      <c r="C396" s="28">
        <f>IF(B396="","",IFERROR(INDEX(Lists!$A$4:$A$15,MATCH(B396,Lists!$B$4:$B$15,0)),0))</f>
        <v/>
      </c>
      <c r="D396" s="25" t="n"/>
      <c r="E396" s="24" t="n"/>
      <c r="F396" s="27">
        <f>IF(E396="","",IFERROR(INDEX(Lists!$H$4:$H$40,MATCH(E396,Lists!$F$4:$F$40,0)),"UNMAPPED"))</f>
        <v/>
      </c>
      <c r="G396" s="25" t="n"/>
      <c r="H396" s="25" t="n"/>
      <c r="I396" s="25" t="n"/>
      <c r="J396" s="25" t="n"/>
      <c r="K396" s="25" t="n"/>
      <c r="L396" s="29" t="n"/>
      <c r="M396" s="25" t="n"/>
      <c r="N396" s="30" t="n"/>
      <c r="O396" s="31">
        <f>IF(N396="","",IF(G396="Revenue",ROUND(N396*VATRate,2),0))</f>
        <v/>
      </c>
      <c r="P396" s="31">
        <f>IF(N396="","",N396+O396)</f>
        <v/>
      </c>
    </row>
    <row r="397">
      <c r="A397" s="26" t="n"/>
      <c r="B397" s="27">
        <f>IF(A397="","",IF(OR(A397&lt;MIN(Lists!$C$4:$C$15),A397&gt;MAX(Lists!$D$4:$D$15)),"No period",INDEX(Lists!$B$4:$B$15,MATCH(A397,Lists!$C$4:$C$15,1))))</f>
        <v/>
      </c>
      <c r="C397" s="28">
        <f>IF(B397="","",IFERROR(INDEX(Lists!$A$4:$A$15,MATCH(B397,Lists!$B$4:$B$15,0)),0))</f>
        <v/>
      </c>
      <c r="D397" s="25" t="n"/>
      <c r="E397" s="24" t="n"/>
      <c r="F397" s="27">
        <f>IF(E397="","",IFERROR(INDEX(Lists!$H$4:$H$40,MATCH(E397,Lists!$F$4:$F$40,0)),"UNMAPPED"))</f>
        <v/>
      </c>
      <c r="G397" s="25" t="n"/>
      <c r="H397" s="25" t="n"/>
      <c r="I397" s="25" t="n"/>
      <c r="J397" s="25" t="n"/>
      <c r="K397" s="25" t="n"/>
      <c r="L397" s="29" t="n"/>
      <c r="M397" s="25" t="n"/>
      <c r="N397" s="30" t="n"/>
      <c r="O397" s="31">
        <f>IF(N397="","",IF(G397="Revenue",ROUND(N397*VATRate,2),0))</f>
        <v/>
      </c>
      <c r="P397" s="31">
        <f>IF(N397="","",N397+O397)</f>
        <v/>
      </c>
    </row>
    <row r="398">
      <c r="A398" s="26" t="n"/>
      <c r="B398" s="27">
        <f>IF(A398="","",IF(OR(A398&lt;MIN(Lists!$C$4:$C$15),A398&gt;MAX(Lists!$D$4:$D$15)),"No period",INDEX(Lists!$B$4:$B$15,MATCH(A398,Lists!$C$4:$C$15,1))))</f>
        <v/>
      </c>
      <c r="C398" s="28">
        <f>IF(B398="","",IFERROR(INDEX(Lists!$A$4:$A$15,MATCH(B398,Lists!$B$4:$B$15,0)),0))</f>
        <v/>
      </c>
      <c r="D398" s="25" t="n"/>
      <c r="E398" s="24" t="n"/>
      <c r="F398" s="27">
        <f>IF(E398="","",IFERROR(INDEX(Lists!$H$4:$H$40,MATCH(E398,Lists!$F$4:$F$40,0)),"UNMAPPED"))</f>
        <v/>
      </c>
      <c r="G398" s="25" t="n"/>
      <c r="H398" s="25" t="n"/>
      <c r="I398" s="25" t="n"/>
      <c r="J398" s="25" t="n"/>
      <c r="K398" s="25" t="n"/>
      <c r="L398" s="29" t="n"/>
      <c r="M398" s="25" t="n"/>
      <c r="N398" s="30" t="n"/>
      <c r="O398" s="31">
        <f>IF(N398="","",IF(G398="Revenue",ROUND(N398*VATRate,2),0))</f>
        <v/>
      </c>
      <c r="P398" s="31">
        <f>IF(N398="","",N398+O398)</f>
        <v/>
      </c>
    </row>
    <row r="399">
      <c r="A399" s="26" t="n"/>
      <c r="B399" s="27">
        <f>IF(A399="","",IF(OR(A399&lt;MIN(Lists!$C$4:$C$15),A399&gt;MAX(Lists!$D$4:$D$15)),"No period",INDEX(Lists!$B$4:$B$15,MATCH(A399,Lists!$C$4:$C$15,1))))</f>
        <v/>
      </c>
      <c r="C399" s="28">
        <f>IF(B399="","",IFERROR(INDEX(Lists!$A$4:$A$15,MATCH(B399,Lists!$B$4:$B$15,0)),0))</f>
        <v/>
      </c>
      <c r="D399" s="25" t="n"/>
      <c r="E399" s="24" t="n"/>
      <c r="F399" s="27">
        <f>IF(E399="","",IFERROR(INDEX(Lists!$H$4:$H$40,MATCH(E399,Lists!$F$4:$F$40,0)),"UNMAPPED"))</f>
        <v/>
      </c>
      <c r="G399" s="25" t="n"/>
      <c r="H399" s="25" t="n"/>
      <c r="I399" s="25" t="n"/>
      <c r="J399" s="25" t="n"/>
      <c r="K399" s="25" t="n"/>
      <c r="L399" s="29" t="n"/>
      <c r="M399" s="25" t="n"/>
      <c r="N399" s="30" t="n"/>
      <c r="O399" s="31">
        <f>IF(N399="","",IF(G399="Revenue",ROUND(N399*VATRate,2),0))</f>
        <v/>
      </c>
      <c r="P399" s="31">
        <f>IF(N399="","",N399+O399)</f>
        <v/>
      </c>
    </row>
    <row r="400">
      <c r="A400" s="26" t="n"/>
      <c r="B400" s="27">
        <f>IF(A400="","",IF(OR(A400&lt;MIN(Lists!$C$4:$C$15),A400&gt;MAX(Lists!$D$4:$D$15)),"No period",INDEX(Lists!$B$4:$B$15,MATCH(A400,Lists!$C$4:$C$15,1))))</f>
        <v/>
      </c>
      <c r="C400" s="28">
        <f>IF(B400="","",IFERROR(INDEX(Lists!$A$4:$A$15,MATCH(B400,Lists!$B$4:$B$15,0)),0))</f>
        <v/>
      </c>
      <c r="D400" s="25" t="n"/>
      <c r="E400" s="24" t="n"/>
      <c r="F400" s="27">
        <f>IF(E400="","",IFERROR(INDEX(Lists!$H$4:$H$40,MATCH(E400,Lists!$F$4:$F$40,0)),"UNMAPPED"))</f>
        <v/>
      </c>
      <c r="G400" s="25" t="n"/>
      <c r="H400" s="25" t="n"/>
      <c r="I400" s="25" t="n"/>
      <c r="J400" s="25" t="n"/>
      <c r="K400" s="25" t="n"/>
      <c r="L400" s="29" t="n"/>
      <c r="M400" s="25" t="n"/>
      <c r="N400" s="30" t="n"/>
      <c r="O400" s="31">
        <f>IF(N400="","",IF(G400="Revenue",ROUND(N400*VATRate,2),0))</f>
        <v/>
      </c>
      <c r="P400" s="31">
        <f>IF(N400="","",N400+O400)</f>
        <v/>
      </c>
    </row>
    <row r="401">
      <c r="A401" s="26" t="n"/>
      <c r="B401" s="27">
        <f>IF(A401="","",IF(OR(A401&lt;MIN(Lists!$C$4:$C$15),A401&gt;MAX(Lists!$D$4:$D$15)),"No period",INDEX(Lists!$B$4:$B$15,MATCH(A401,Lists!$C$4:$C$15,1))))</f>
        <v/>
      </c>
      <c r="C401" s="28">
        <f>IF(B401="","",IFERROR(INDEX(Lists!$A$4:$A$15,MATCH(B401,Lists!$B$4:$B$15,0)),0))</f>
        <v/>
      </c>
      <c r="D401" s="25" t="n"/>
      <c r="E401" s="24" t="n"/>
      <c r="F401" s="27">
        <f>IF(E401="","",IFERROR(INDEX(Lists!$H$4:$H$40,MATCH(E401,Lists!$F$4:$F$40,0)),"UNMAPPED"))</f>
        <v/>
      </c>
      <c r="G401" s="25" t="n"/>
      <c r="H401" s="25" t="n"/>
      <c r="I401" s="25" t="n"/>
      <c r="J401" s="25" t="n"/>
      <c r="K401" s="25" t="n"/>
      <c r="L401" s="29" t="n"/>
      <c r="M401" s="25" t="n"/>
      <c r="N401" s="30" t="n"/>
      <c r="O401" s="31">
        <f>IF(N401="","",IF(G401="Revenue",ROUND(N401*VATRate,2),0))</f>
        <v/>
      </c>
      <c r="P401" s="31">
        <f>IF(N401="","",N401+O401)</f>
        <v/>
      </c>
    </row>
    <row r="402">
      <c r="A402" s="26" t="n"/>
      <c r="B402" s="27">
        <f>IF(A402="","",IF(OR(A402&lt;MIN(Lists!$C$4:$C$15),A402&gt;MAX(Lists!$D$4:$D$15)),"No period",INDEX(Lists!$B$4:$B$15,MATCH(A402,Lists!$C$4:$C$15,1))))</f>
        <v/>
      </c>
      <c r="C402" s="28">
        <f>IF(B402="","",IFERROR(INDEX(Lists!$A$4:$A$15,MATCH(B402,Lists!$B$4:$B$15,0)),0))</f>
        <v/>
      </c>
      <c r="D402" s="25" t="n"/>
      <c r="E402" s="24" t="n"/>
      <c r="F402" s="27">
        <f>IF(E402="","",IFERROR(INDEX(Lists!$H$4:$H$40,MATCH(E402,Lists!$F$4:$F$40,0)),"UNMAPPED"))</f>
        <v/>
      </c>
      <c r="G402" s="25" t="n"/>
      <c r="H402" s="25" t="n"/>
      <c r="I402" s="25" t="n"/>
      <c r="J402" s="25" t="n"/>
      <c r="K402" s="25" t="n"/>
      <c r="L402" s="29" t="n"/>
      <c r="M402" s="25" t="n"/>
      <c r="N402" s="30" t="n"/>
      <c r="O402" s="31">
        <f>IF(N402="","",IF(G402="Revenue",ROUND(N402*VATRate,2),0))</f>
        <v/>
      </c>
      <c r="P402" s="31">
        <f>IF(N402="","",N402+O402)</f>
        <v/>
      </c>
    </row>
    <row r="403">
      <c r="A403" s="26" t="n"/>
      <c r="B403" s="27">
        <f>IF(A403="","",IF(OR(A403&lt;MIN(Lists!$C$4:$C$15),A403&gt;MAX(Lists!$D$4:$D$15)),"No period",INDEX(Lists!$B$4:$B$15,MATCH(A403,Lists!$C$4:$C$15,1))))</f>
        <v/>
      </c>
      <c r="C403" s="28">
        <f>IF(B403="","",IFERROR(INDEX(Lists!$A$4:$A$15,MATCH(B403,Lists!$B$4:$B$15,0)),0))</f>
        <v/>
      </c>
      <c r="D403" s="25" t="n"/>
      <c r="E403" s="24" t="n"/>
      <c r="F403" s="27">
        <f>IF(E403="","",IFERROR(INDEX(Lists!$H$4:$H$40,MATCH(E403,Lists!$F$4:$F$40,0)),"UNMAPPED"))</f>
        <v/>
      </c>
      <c r="G403" s="25" t="n"/>
      <c r="H403" s="25" t="n"/>
      <c r="I403" s="25" t="n"/>
      <c r="J403" s="25" t="n"/>
      <c r="K403" s="25" t="n"/>
      <c r="L403" s="29" t="n"/>
      <c r="M403" s="25" t="n"/>
      <c r="N403" s="30" t="n"/>
      <c r="O403" s="31">
        <f>IF(N403="","",IF(G403="Revenue",ROUND(N403*VATRate,2),0))</f>
        <v/>
      </c>
      <c r="P403" s="31">
        <f>IF(N403="","",N403+O403)</f>
        <v/>
      </c>
    </row>
    <row r="404">
      <c r="A404" s="26" t="n"/>
      <c r="B404" s="27">
        <f>IF(A404="","",IF(OR(A404&lt;MIN(Lists!$C$4:$C$15),A404&gt;MAX(Lists!$D$4:$D$15)),"No period",INDEX(Lists!$B$4:$B$15,MATCH(A404,Lists!$C$4:$C$15,1))))</f>
        <v/>
      </c>
      <c r="C404" s="28">
        <f>IF(B404="","",IFERROR(INDEX(Lists!$A$4:$A$15,MATCH(B404,Lists!$B$4:$B$15,0)),0))</f>
        <v/>
      </c>
      <c r="D404" s="25" t="n"/>
      <c r="E404" s="24" t="n"/>
      <c r="F404" s="27">
        <f>IF(E404="","",IFERROR(INDEX(Lists!$H$4:$H$40,MATCH(E404,Lists!$F$4:$F$40,0)),"UNMAPPED"))</f>
        <v/>
      </c>
      <c r="G404" s="25" t="n"/>
      <c r="H404" s="25" t="n"/>
      <c r="I404" s="25" t="n"/>
      <c r="J404" s="25" t="n"/>
      <c r="K404" s="25" t="n"/>
      <c r="L404" s="29" t="n"/>
      <c r="M404" s="25" t="n"/>
      <c r="N404" s="30" t="n"/>
      <c r="O404" s="31">
        <f>IF(N404="","",IF(G404="Revenue",ROUND(N404*VATRate,2),0))</f>
        <v/>
      </c>
      <c r="P404" s="31">
        <f>IF(N404="","",N404+O404)</f>
        <v/>
      </c>
    </row>
    <row r="405">
      <c r="A405" s="26" t="n"/>
      <c r="B405" s="27">
        <f>IF(A405="","",IF(OR(A405&lt;MIN(Lists!$C$4:$C$15),A405&gt;MAX(Lists!$D$4:$D$15)),"No period",INDEX(Lists!$B$4:$B$15,MATCH(A405,Lists!$C$4:$C$15,1))))</f>
        <v/>
      </c>
      <c r="C405" s="28">
        <f>IF(B405="","",IFERROR(INDEX(Lists!$A$4:$A$15,MATCH(B405,Lists!$B$4:$B$15,0)),0))</f>
        <v/>
      </c>
      <c r="D405" s="25" t="n"/>
      <c r="E405" s="24" t="n"/>
      <c r="F405" s="27">
        <f>IF(E405="","",IFERROR(INDEX(Lists!$H$4:$H$40,MATCH(E405,Lists!$F$4:$F$40,0)),"UNMAPPED"))</f>
        <v/>
      </c>
      <c r="G405" s="25" t="n"/>
      <c r="H405" s="25" t="n"/>
      <c r="I405" s="25" t="n"/>
      <c r="J405" s="25" t="n"/>
      <c r="K405" s="25" t="n"/>
      <c r="L405" s="29" t="n"/>
      <c r="M405" s="25" t="n"/>
      <c r="N405" s="30" t="n"/>
      <c r="O405" s="31">
        <f>IF(N405="","",IF(G405="Revenue",ROUND(N405*VATRate,2),0))</f>
        <v/>
      </c>
      <c r="P405" s="31">
        <f>IF(N405="","",N405+O405)</f>
        <v/>
      </c>
    </row>
    <row r="406">
      <c r="A406" s="26" t="n"/>
      <c r="B406" s="27">
        <f>IF(A406="","",IF(OR(A406&lt;MIN(Lists!$C$4:$C$15),A406&gt;MAX(Lists!$D$4:$D$15)),"No period",INDEX(Lists!$B$4:$B$15,MATCH(A406,Lists!$C$4:$C$15,1))))</f>
        <v/>
      </c>
      <c r="C406" s="28">
        <f>IF(B406="","",IFERROR(INDEX(Lists!$A$4:$A$15,MATCH(B406,Lists!$B$4:$B$15,0)),0))</f>
        <v/>
      </c>
      <c r="D406" s="25" t="n"/>
      <c r="E406" s="24" t="n"/>
      <c r="F406" s="27">
        <f>IF(E406="","",IFERROR(INDEX(Lists!$H$4:$H$40,MATCH(E406,Lists!$F$4:$F$40,0)),"UNMAPPED"))</f>
        <v/>
      </c>
      <c r="G406" s="25" t="n"/>
      <c r="H406" s="25" t="n"/>
      <c r="I406" s="25" t="n"/>
      <c r="J406" s="25" t="n"/>
      <c r="K406" s="25" t="n"/>
      <c r="L406" s="29" t="n"/>
      <c r="M406" s="25" t="n"/>
      <c r="N406" s="30" t="n"/>
      <c r="O406" s="31">
        <f>IF(N406="","",IF(G406="Revenue",ROUND(N406*VATRate,2),0))</f>
        <v/>
      </c>
      <c r="P406" s="31">
        <f>IF(N406="","",N406+O406)</f>
        <v/>
      </c>
    </row>
    <row r="407">
      <c r="A407" s="26" t="n"/>
      <c r="B407" s="27">
        <f>IF(A407="","",IF(OR(A407&lt;MIN(Lists!$C$4:$C$15),A407&gt;MAX(Lists!$D$4:$D$15)),"No period",INDEX(Lists!$B$4:$B$15,MATCH(A407,Lists!$C$4:$C$15,1))))</f>
        <v/>
      </c>
      <c r="C407" s="28">
        <f>IF(B407="","",IFERROR(INDEX(Lists!$A$4:$A$15,MATCH(B407,Lists!$B$4:$B$15,0)),0))</f>
        <v/>
      </c>
      <c r="D407" s="25" t="n"/>
      <c r="E407" s="24" t="n"/>
      <c r="F407" s="27">
        <f>IF(E407="","",IFERROR(INDEX(Lists!$H$4:$H$40,MATCH(E407,Lists!$F$4:$F$40,0)),"UNMAPPED"))</f>
        <v/>
      </c>
      <c r="G407" s="25" t="n"/>
      <c r="H407" s="25" t="n"/>
      <c r="I407" s="25" t="n"/>
      <c r="J407" s="25" t="n"/>
      <c r="K407" s="25" t="n"/>
      <c r="L407" s="29" t="n"/>
      <c r="M407" s="25" t="n"/>
      <c r="N407" s="30" t="n"/>
      <c r="O407" s="31">
        <f>IF(N407="","",IF(G407="Revenue",ROUND(N407*VATRate,2),0))</f>
        <v/>
      </c>
      <c r="P407" s="31">
        <f>IF(N407="","",N407+O407)</f>
        <v/>
      </c>
    </row>
    <row r="408">
      <c r="A408" s="26" t="n"/>
      <c r="B408" s="27">
        <f>IF(A408="","",IF(OR(A408&lt;MIN(Lists!$C$4:$C$15),A408&gt;MAX(Lists!$D$4:$D$15)),"No period",INDEX(Lists!$B$4:$B$15,MATCH(A408,Lists!$C$4:$C$15,1))))</f>
        <v/>
      </c>
      <c r="C408" s="28">
        <f>IF(B408="","",IFERROR(INDEX(Lists!$A$4:$A$15,MATCH(B408,Lists!$B$4:$B$15,0)),0))</f>
        <v/>
      </c>
      <c r="D408" s="25" t="n"/>
      <c r="E408" s="24" t="n"/>
      <c r="F408" s="27">
        <f>IF(E408="","",IFERROR(INDEX(Lists!$H$4:$H$40,MATCH(E408,Lists!$F$4:$F$40,0)),"UNMAPPED"))</f>
        <v/>
      </c>
      <c r="G408" s="25" t="n"/>
      <c r="H408" s="25" t="n"/>
      <c r="I408" s="25" t="n"/>
      <c r="J408" s="25" t="n"/>
      <c r="K408" s="25" t="n"/>
      <c r="L408" s="29" t="n"/>
      <c r="M408" s="25" t="n"/>
      <c r="N408" s="30" t="n"/>
      <c r="O408" s="31">
        <f>IF(N408="","",IF(G408="Revenue",ROUND(N408*VATRate,2),0))</f>
        <v/>
      </c>
      <c r="P408" s="31">
        <f>IF(N408="","",N408+O408)</f>
        <v/>
      </c>
    </row>
    <row r="409">
      <c r="A409" s="26" t="n"/>
      <c r="B409" s="27">
        <f>IF(A409="","",IF(OR(A409&lt;MIN(Lists!$C$4:$C$15),A409&gt;MAX(Lists!$D$4:$D$15)),"No period",INDEX(Lists!$B$4:$B$15,MATCH(A409,Lists!$C$4:$C$15,1))))</f>
        <v/>
      </c>
      <c r="C409" s="28">
        <f>IF(B409="","",IFERROR(INDEX(Lists!$A$4:$A$15,MATCH(B409,Lists!$B$4:$B$15,0)),0))</f>
        <v/>
      </c>
      <c r="D409" s="25" t="n"/>
      <c r="E409" s="24" t="n"/>
      <c r="F409" s="27">
        <f>IF(E409="","",IFERROR(INDEX(Lists!$H$4:$H$40,MATCH(E409,Lists!$F$4:$F$40,0)),"UNMAPPED"))</f>
        <v/>
      </c>
      <c r="G409" s="25" t="n"/>
      <c r="H409" s="25" t="n"/>
      <c r="I409" s="25" t="n"/>
      <c r="J409" s="25" t="n"/>
      <c r="K409" s="25" t="n"/>
      <c r="L409" s="29" t="n"/>
      <c r="M409" s="25" t="n"/>
      <c r="N409" s="30" t="n"/>
      <c r="O409" s="31">
        <f>IF(N409="","",IF(G409="Revenue",ROUND(N409*VATRate,2),0))</f>
        <v/>
      </c>
      <c r="P409" s="31">
        <f>IF(N409="","",N409+O409)</f>
        <v/>
      </c>
    </row>
    <row r="410">
      <c r="A410" s="26" t="n"/>
      <c r="B410" s="27">
        <f>IF(A410="","",IF(OR(A410&lt;MIN(Lists!$C$4:$C$15),A410&gt;MAX(Lists!$D$4:$D$15)),"No period",INDEX(Lists!$B$4:$B$15,MATCH(A410,Lists!$C$4:$C$15,1))))</f>
        <v/>
      </c>
      <c r="C410" s="28">
        <f>IF(B410="","",IFERROR(INDEX(Lists!$A$4:$A$15,MATCH(B410,Lists!$B$4:$B$15,0)),0))</f>
        <v/>
      </c>
      <c r="D410" s="25" t="n"/>
      <c r="E410" s="24" t="n"/>
      <c r="F410" s="27">
        <f>IF(E410="","",IFERROR(INDEX(Lists!$H$4:$H$40,MATCH(E410,Lists!$F$4:$F$40,0)),"UNMAPPED"))</f>
        <v/>
      </c>
      <c r="G410" s="25" t="n"/>
      <c r="H410" s="25" t="n"/>
      <c r="I410" s="25" t="n"/>
      <c r="J410" s="25" t="n"/>
      <c r="K410" s="25" t="n"/>
      <c r="L410" s="29" t="n"/>
      <c r="M410" s="25" t="n"/>
      <c r="N410" s="30" t="n"/>
      <c r="O410" s="31">
        <f>IF(N410="","",IF(G410="Revenue",ROUND(N410*VATRate,2),0))</f>
        <v/>
      </c>
      <c r="P410" s="31">
        <f>IF(N410="","",N410+O410)</f>
        <v/>
      </c>
    </row>
    <row r="411">
      <c r="A411" s="26" t="n"/>
      <c r="B411" s="27">
        <f>IF(A411="","",IF(OR(A411&lt;MIN(Lists!$C$4:$C$15),A411&gt;MAX(Lists!$D$4:$D$15)),"No period",INDEX(Lists!$B$4:$B$15,MATCH(A411,Lists!$C$4:$C$15,1))))</f>
        <v/>
      </c>
      <c r="C411" s="28">
        <f>IF(B411="","",IFERROR(INDEX(Lists!$A$4:$A$15,MATCH(B411,Lists!$B$4:$B$15,0)),0))</f>
        <v/>
      </c>
      <c r="D411" s="25" t="n"/>
      <c r="E411" s="24" t="n"/>
      <c r="F411" s="27">
        <f>IF(E411="","",IFERROR(INDEX(Lists!$H$4:$H$40,MATCH(E411,Lists!$F$4:$F$40,0)),"UNMAPPED"))</f>
        <v/>
      </c>
      <c r="G411" s="25" t="n"/>
      <c r="H411" s="25" t="n"/>
      <c r="I411" s="25" t="n"/>
      <c r="J411" s="25" t="n"/>
      <c r="K411" s="25" t="n"/>
      <c r="L411" s="29" t="n"/>
      <c r="M411" s="25" t="n"/>
      <c r="N411" s="30" t="n"/>
      <c r="O411" s="31">
        <f>IF(N411="","",IF(G411="Revenue",ROUND(N411*VATRate,2),0))</f>
        <v/>
      </c>
      <c r="P411" s="31">
        <f>IF(N411="","",N411+O411)</f>
        <v/>
      </c>
    </row>
    <row r="412">
      <c r="A412" s="26" t="n"/>
      <c r="B412" s="27">
        <f>IF(A412="","",IF(OR(A412&lt;MIN(Lists!$C$4:$C$15),A412&gt;MAX(Lists!$D$4:$D$15)),"No period",INDEX(Lists!$B$4:$B$15,MATCH(A412,Lists!$C$4:$C$15,1))))</f>
        <v/>
      </c>
      <c r="C412" s="28">
        <f>IF(B412="","",IFERROR(INDEX(Lists!$A$4:$A$15,MATCH(B412,Lists!$B$4:$B$15,0)),0))</f>
        <v/>
      </c>
      <c r="D412" s="25" t="n"/>
      <c r="E412" s="24" t="n"/>
      <c r="F412" s="27">
        <f>IF(E412="","",IFERROR(INDEX(Lists!$H$4:$H$40,MATCH(E412,Lists!$F$4:$F$40,0)),"UNMAPPED"))</f>
        <v/>
      </c>
      <c r="G412" s="25" t="n"/>
      <c r="H412" s="25" t="n"/>
      <c r="I412" s="25" t="n"/>
      <c r="J412" s="25" t="n"/>
      <c r="K412" s="25" t="n"/>
      <c r="L412" s="29" t="n"/>
      <c r="M412" s="25" t="n"/>
      <c r="N412" s="30" t="n"/>
      <c r="O412" s="31">
        <f>IF(N412="","",IF(G412="Revenue",ROUND(N412*VATRate,2),0))</f>
        <v/>
      </c>
      <c r="P412" s="31">
        <f>IF(N412="","",N412+O412)</f>
        <v/>
      </c>
    </row>
    <row r="413">
      <c r="A413" s="26" t="n"/>
      <c r="B413" s="27">
        <f>IF(A413="","",IF(OR(A413&lt;MIN(Lists!$C$4:$C$15),A413&gt;MAX(Lists!$D$4:$D$15)),"No period",INDEX(Lists!$B$4:$B$15,MATCH(A413,Lists!$C$4:$C$15,1))))</f>
        <v/>
      </c>
      <c r="C413" s="28">
        <f>IF(B413="","",IFERROR(INDEX(Lists!$A$4:$A$15,MATCH(B413,Lists!$B$4:$B$15,0)),0))</f>
        <v/>
      </c>
      <c r="D413" s="25" t="n"/>
      <c r="E413" s="24" t="n"/>
      <c r="F413" s="27">
        <f>IF(E413="","",IFERROR(INDEX(Lists!$H$4:$H$40,MATCH(E413,Lists!$F$4:$F$40,0)),"UNMAPPED"))</f>
        <v/>
      </c>
      <c r="G413" s="25" t="n"/>
      <c r="H413" s="25" t="n"/>
      <c r="I413" s="25" t="n"/>
      <c r="J413" s="25" t="n"/>
      <c r="K413" s="25" t="n"/>
      <c r="L413" s="29" t="n"/>
      <c r="M413" s="25" t="n"/>
      <c r="N413" s="30" t="n"/>
      <c r="O413" s="31">
        <f>IF(N413="","",IF(G413="Revenue",ROUND(N413*VATRate,2),0))</f>
        <v/>
      </c>
      <c r="P413" s="31">
        <f>IF(N413="","",N413+O413)</f>
        <v/>
      </c>
    </row>
    <row r="414">
      <c r="A414" s="26" t="n"/>
      <c r="B414" s="27">
        <f>IF(A414="","",IF(OR(A414&lt;MIN(Lists!$C$4:$C$15),A414&gt;MAX(Lists!$D$4:$D$15)),"No period",INDEX(Lists!$B$4:$B$15,MATCH(A414,Lists!$C$4:$C$15,1))))</f>
        <v/>
      </c>
      <c r="C414" s="28">
        <f>IF(B414="","",IFERROR(INDEX(Lists!$A$4:$A$15,MATCH(B414,Lists!$B$4:$B$15,0)),0))</f>
        <v/>
      </c>
      <c r="D414" s="25" t="n"/>
      <c r="E414" s="24" t="n"/>
      <c r="F414" s="27">
        <f>IF(E414="","",IFERROR(INDEX(Lists!$H$4:$H$40,MATCH(E414,Lists!$F$4:$F$40,0)),"UNMAPPED"))</f>
        <v/>
      </c>
      <c r="G414" s="25" t="n"/>
      <c r="H414" s="25" t="n"/>
      <c r="I414" s="25" t="n"/>
      <c r="J414" s="25" t="n"/>
      <c r="K414" s="25" t="n"/>
      <c r="L414" s="29" t="n"/>
      <c r="M414" s="25" t="n"/>
      <c r="N414" s="30" t="n"/>
      <c r="O414" s="31">
        <f>IF(N414="","",IF(G414="Revenue",ROUND(N414*VATRate,2),0))</f>
        <v/>
      </c>
      <c r="P414" s="31">
        <f>IF(N414="","",N414+O414)</f>
        <v/>
      </c>
    </row>
    <row r="415">
      <c r="A415" s="26" t="n"/>
      <c r="B415" s="27">
        <f>IF(A415="","",IF(OR(A415&lt;MIN(Lists!$C$4:$C$15),A415&gt;MAX(Lists!$D$4:$D$15)),"No period",INDEX(Lists!$B$4:$B$15,MATCH(A415,Lists!$C$4:$C$15,1))))</f>
        <v/>
      </c>
      <c r="C415" s="28">
        <f>IF(B415="","",IFERROR(INDEX(Lists!$A$4:$A$15,MATCH(B415,Lists!$B$4:$B$15,0)),0))</f>
        <v/>
      </c>
      <c r="D415" s="25" t="n"/>
      <c r="E415" s="24" t="n"/>
      <c r="F415" s="27">
        <f>IF(E415="","",IFERROR(INDEX(Lists!$H$4:$H$40,MATCH(E415,Lists!$F$4:$F$40,0)),"UNMAPPED"))</f>
        <v/>
      </c>
      <c r="G415" s="25" t="n"/>
      <c r="H415" s="25" t="n"/>
      <c r="I415" s="25" t="n"/>
      <c r="J415" s="25" t="n"/>
      <c r="K415" s="25" t="n"/>
      <c r="L415" s="29" t="n"/>
      <c r="M415" s="25" t="n"/>
      <c r="N415" s="30" t="n"/>
      <c r="O415" s="31">
        <f>IF(N415="","",IF(G415="Revenue",ROUND(N415*VATRate,2),0))</f>
        <v/>
      </c>
      <c r="P415" s="31">
        <f>IF(N415="","",N415+O415)</f>
        <v/>
      </c>
    </row>
    <row r="416">
      <c r="A416" s="26" t="n"/>
      <c r="B416" s="27">
        <f>IF(A416="","",IF(OR(A416&lt;MIN(Lists!$C$4:$C$15),A416&gt;MAX(Lists!$D$4:$D$15)),"No period",INDEX(Lists!$B$4:$B$15,MATCH(A416,Lists!$C$4:$C$15,1))))</f>
        <v/>
      </c>
      <c r="C416" s="28">
        <f>IF(B416="","",IFERROR(INDEX(Lists!$A$4:$A$15,MATCH(B416,Lists!$B$4:$B$15,0)),0))</f>
        <v/>
      </c>
      <c r="D416" s="25" t="n"/>
      <c r="E416" s="24" t="n"/>
      <c r="F416" s="27">
        <f>IF(E416="","",IFERROR(INDEX(Lists!$H$4:$H$40,MATCH(E416,Lists!$F$4:$F$40,0)),"UNMAPPED"))</f>
        <v/>
      </c>
      <c r="G416" s="25" t="n"/>
      <c r="H416" s="25" t="n"/>
      <c r="I416" s="25" t="n"/>
      <c r="J416" s="25" t="n"/>
      <c r="K416" s="25" t="n"/>
      <c r="L416" s="29" t="n"/>
      <c r="M416" s="25" t="n"/>
      <c r="N416" s="30" t="n"/>
      <c r="O416" s="31">
        <f>IF(N416="","",IF(G416="Revenue",ROUND(N416*VATRate,2),0))</f>
        <v/>
      </c>
      <c r="P416" s="31">
        <f>IF(N416="","",N416+O416)</f>
        <v/>
      </c>
    </row>
    <row r="417">
      <c r="A417" s="26" t="n"/>
      <c r="B417" s="27">
        <f>IF(A417="","",IF(OR(A417&lt;MIN(Lists!$C$4:$C$15),A417&gt;MAX(Lists!$D$4:$D$15)),"No period",INDEX(Lists!$B$4:$B$15,MATCH(A417,Lists!$C$4:$C$15,1))))</f>
        <v/>
      </c>
      <c r="C417" s="28">
        <f>IF(B417="","",IFERROR(INDEX(Lists!$A$4:$A$15,MATCH(B417,Lists!$B$4:$B$15,0)),0))</f>
        <v/>
      </c>
      <c r="D417" s="25" t="n"/>
      <c r="E417" s="24" t="n"/>
      <c r="F417" s="27">
        <f>IF(E417="","",IFERROR(INDEX(Lists!$H$4:$H$40,MATCH(E417,Lists!$F$4:$F$40,0)),"UNMAPPED"))</f>
        <v/>
      </c>
      <c r="G417" s="25" t="n"/>
      <c r="H417" s="25" t="n"/>
      <c r="I417" s="25" t="n"/>
      <c r="J417" s="25" t="n"/>
      <c r="K417" s="25" t="n"/>
      <c r="L417" s="29" t="n"/>
      <c r="M417" s="25" t="n"/>
      <c r="N417" s="30" t="n"/>
      <c r="O417" s="31">
        <f>IF(N417="","",IF(G417="Revenue",ROUND(N417*VATRate,2),0))</f>
        <v/>
      </c>
      <c r="P417" s="31">
        <f>IF(N417="","",N417+O417)</f>
        <v/>
      </c>
    </row>
    <row r="418">
      <c r="A418" s="26" t="n"/>
      <c r="B418" s="27">
        <f>IF(A418="","",IF(OR(A418&lt;MIN(Lists!$C$4:$C$15),A418&gt;MAX(Lists!$D$4:$D$15)),"No period",INDEX(Lists!$B$4:$B$15,MATCH(A418,Lists!$C$4:$C$15,1))))</f>
        <v/>
      </c>
      <c r="C418" s="28">
        <f>IF(B418="","",IFERROR(INDEX(Lists!$A$4:$A$15,MATCH(B418,Lists!$B$4:$B$15,0)),0))</f>
        <v/>
      </c>
      <c r="D418" s="25" t="n"/>
      <c r="E418" s="24" t="n"/>
      <c r="F418" s="27">
        <f>IF(E418="","",IFERROR(INDEX(Lists!$H$4:$H$40,MATCH(E418,Lists!$F$4:$F$40,0)),"UNMAPPED"))</f>
        <v/>
      </c>
      <c r="G418" s="25" t="n"/>
      <c r="H418" s="25" t="n"/>
      <c r="I418" s="25" t="n"/>
      <c r="J418" s="25" t="n"/>
      <c r="K418" s="25" t="n"/>
      <c r="L418" s="29" t="n"/>
      <c r="M418" s="25" t="n"/>
      <c r="N418" s="30" t="n"/>
      <c r="O418" s="31">
        <f>IF(N418="","",IF(G418="Revenue",ROUND(N418*VATRate,2),0))</f>
        <v/>
      </c>
      <c r="P418" s="31">
        <f>IF(N418="","",N418+O418)</f>
        <v/>
      </c>
    </row>
    <row r="419">
      <c r="A419" s="26" t="n"/>
      <c r="B419" s="27">
        <f>IF(A419="","",IF(OR(A419&lt;MIN(Lists!$C$4:$C$15),A419&gt;MAX(Lists!$D$4:$D$15)),"No period",INDEX(Lists!$B$4:$B$15,MATCH(A419,Lists!$C$4:$C$15,1))))</f>
        <v/>
      </c>
      <c r="C419" s="28">
        <f>IF(B419="","",IFERROR(INDEX(Lists!$A$4:$A$15,MATCH(B419,Lists!$B$4:$B$15,0)),0))</f>
        <v/>
      </c>
      <c r="D419" s="25" t="n"/>
      <c r="E419" s="24" t="n"/>
      <c r="F419" s="27">
        <f>IF(E419="","",IFERROR(INDEX(Lists!$H$4:$H$40,MATCH(E419,Lists!$F$4:$F$40,0)),"UNMAPPED"))</f>
        <v/>
      </c>
      <c r="G419" s="25" t="n"/>
      <c r="H419" s="25" t="n"/>
      <c r="I419" s="25" t="n"/>
      <c r="J419" s="25" t="n"/>
      <c r="K419" s="25" t="n"/>
      <c r="L419" s="29" t="n"/>
      <c r="M419" s="25" t="n"/>
      <c r="N419" s="30" t="n"/>
      <c r="O419" s="31">
        <f>IF(N419="","",IF(G419="Revenue",ROUND(N419*VATRate,2),0))</f>
        <v/>
      </c>
      <c r="P419" s="31">
        <f>IF(N419="","",N419+O419)</f>
        <v/>
      </c>
    </row>
    <row r="420">
      <c r="A420" s="26" t="n"/>
      <c r="B420" s="27">
        <f>IF(A420="","",IF(OR(A420&lt;MIN(Lists!$C$4:$C$15),A420&gt;MAX(Lists!$D$4:$D$15)),"No period",INDEX(Lists!$B$4:$B$15,MATCH(A420,Lists!$C$4:$C$15,1))))</f>
        <v/>
      </c>
      <c r="C420" s="28">
        <f>IF(B420="","",IFERROR(INDEX(Lists!$A$4:$A$15,MATCH(B420,Lists!$B$4:$B$15,0)),0))</f>
        <v/>
      </c>
      <c r="D420" s="25" t="n"/>
      <c r="E420" s="24" t="n"/>
      <c r="F420" s="27">
        <f>IF(E420="","",IFERROR(INDEX(Lists!$H$4:$H$40,MATCH(E420,Lists!$F$4:$F$40,0)),"UNMAPPED"))</f>
        <v/>
      </c>
      <c r="G420" s="25" t="n"/>
      <c r="H420" s="25" t="n"/>
      <c r="I420" s="25" t="n"/>
      <c r="J420" s="25" t="n"/>
      <c r="K420" s="25" t="n"/>
      <c r="L420" s="29" t="n"/>
      <c r="M420" s="25" t="n"/>
      <c r="N420" s="30" t="n"/>
      <c r="O420" s="31">
        <f>IF(N420="","",IF(G420="Revenue",ROUND(N420*VATRate,2),0))</f>
        <v/>
      </c>
      <c r="P420" s="31">
        <f>IF(N420="","",N420+O420)</f>
        <v/>
      </c>
    </row>
    <row r="421">
      <c r="A421" s="26" t="n"/>
      <c r="B421" s="27">
        <f>IF(A421="","",IF(OR(A421&lt;MIN(Lists!$C$4:$C$15),A421&gt;MAX(Lists!$D$4:$D$15)),"No period",INDEX(Lists!$B$4:$B$15,MATCH(A421,Lists!$C$4:$C$15,1))))</f>
        <v/>
      </c>
      <c r="C421" s="28">
        <f>IF(B421="","",IFERROR(INDEX(Lists!$A$4:$A$15,MATCH(B421,Lists!$B$4:$B$15,0)),0))</f>
        <v/>
      </c>
      <c r="D421" s="25" t="n"/>
      <c r="E421" s="24" t="n"/>
      <c r="F421" s="27">
        <f>IF(E421="","",IFERROR(INDEX(Lists!$H$4:$H$40,MATCH(E421,Lists!$F$4:$F$40,0)),"UNMAPPED"))</f>
        <v/>
      </c>
      <c r="G421" s="25" t="n"/>
      <c r="H421" s="25" t="n"/>
      <c r="I421" s="25" t="n"/>
      <c r="J421" s="25" t="n"/>
      <c r="K421" s="25" t="n"/>
      <c r="L421" s="29" t="n"/>
      <c r="M421" s="25" t="n"/>
      <c r="N421" s="30" t="n"/>
      <c r="O421" s="31">
        <f>IF(N421="","",IF(G421="Revenue",ROUND(N421*VATRate,2),0))</f>
        <v/>
      </c>
      <c r="P421" s="31">
        <f>IF(N421="","",N421+O421)</f>
        <v/>
      </c>
    </row>
    <row r="422">
      <c r="A422" s="26" t="n"/>
      <c r="B422" s="27">
        <f>IF(A422="","",IF(OR(A422&lt;MIN(Lists!$C$4:$C$15),A422&gt;MAX(Lists!$D$4:$D$15)),"No period",INDEX(Lists!$B$4:$B$15,MATCH(A422,Lists!$C$4:$C$15,1))))</f>
        <v/>
      </c>
      <c r="C422" s="28">
        <f>IF(B422="","",IFERROR(INDEX(Lists!$A$4:$A$15,MATCH(B422,Lists!$B$4:$B$15,0)),0))</f>
        <v/>
      </c>
      <c r="D422" s="25" t="n"/>
      <c r="E422" s="24" t="n"/>
      <c r="F422" s="27">
        <f>IF(E422="","",IFERROR(INDEX(Lists!$H$4:$H$40,MATCH(E422,Lists!$F$4:$F$40,0)),"UNMAPPED"))</f>
        <v/>
      </c>
      <c r="G422" s="25" t="n"/>
      <c r="H422" s="25" t="n"/>
      <c r="I422" s="25" t="n"/>
      <c r="J422" s="25" t="n"/>
      <c r="K422" s="25" t="n"/>
      <c r="L422" s="29" t="n"/>
      <c r="M422" s="25" t="n"/>
      <c r="N422" s="30" t="n"/>
      <c r="O422" s="31">
        <f>IF(N422="","",IF(G422="Revenue",ROUND(N422*VATRate,2),0))</f>
        <v/>
      </c>
      <c r="P422" s="31">
        <f>IF(N422="","",N422+O422)</f>
        <v/>
      </c>
    </row>
    <row r="423">
      <c r="A423" s="26" t="n"/>
      <c r="B423" s="27">
        <f>IF(A423="","",IF(OR(A423&lt;MIN(Lists!$C$4:$C$15),A423&gt;MAX(Lists!$D$4:$D$15)),"No period",INDEX(Lists!$B$4:$B$15,MATCH(A423,Lists!$C$4:$C$15,1))))</f>
        <v/>
      </c>
      <c r="C423" s="28">
        <f>IF(B423="","",IFERROR(INDEX(Lists!$A$4:$A$15,MATCH(B423,Lists!$B$4:$B$15,0)),0))</f>
        <v/>
      </c>
      <c r="D423" s="25" t="n"/>
      <c r="E423" s="24" t="n"/>
      <c r="F423" s="27">
        <f>IF(E423="","",IFERROR(INDEX(Lists!$H$4:$H$40,MATCH(E423,Lists!$F$4:$F$40,0)),"UNMAPPED"))</f>
        <v/>
      </c>
      <c r="G423" s="25" t="n"/>
      <c r="H423" s="25" t="n"/>
      <c r="I423" s="25" t="n"/>
      <c r="J423" s="25" t="n"/>
      <c r="K423" s="25" t="n"/>
      <c r="L423" s="29" t="n"/>
      <c r="M423" s="25" t="n"/>
      <c r="N423" s="30" t="n"/>
      <c r="O423" s="31">
        <f>IF(N423="","",IF(G423="Revenue",ROUND(N423*VATRate,2),0))</f>
        <v/>
      </c>
      <c r="P423" s="31">
        <f>IF(N423="","",N423+O423)</f>
        <v/>
      </c>
    </row>
    <row r="424">
      <c r="A424" s="26" t="n"/>
      <c r="B424" s="27">
        <f>IF(A424="","",IF(OR(A424&lt;MIN(Lists!$C$4:$C$15),A424&gt;MAX(Lists!$D$4:$D$15)),"No period",INDEX(Lists!$B$4:$B$15,MATCH(A424,Lists!$C$4:$C$15,1))))</f>
        <v/>
      </c>
      <c r="C424" s="28">
        <f>IF(B424="","",IFERROR(INDEX(Lists!$A$4:$A$15,MATCH(B424,Lists!$B$4:$B$15,0)),0))</f>
        <v/>
      </c>
      <c r="D424" s="25" t="n"/>
      <c r="E424" s="24" t="n"/>
      <c r="F424" s="27">
        <f>IF(E424="","",IFERROR(INDEX(Lists!$H$4:$H$40,MATCH(E424,Lists!$F$4:$F$40,0)),"UNMAPPED"))</f>
        <v/>
      </c>
      <c r="G424" s="25" t="n"/>
      <c r="H424" s="25" t="n"/>
      <c r="I424" s="25" t="n"/>
      <c r="J424" s="25" t="n"/>
      <c r="K424" s="25" t="n"/>
      <c r="L424" s="29" t="n"/>
      <c r="M424" s="25" t="n"/>
      <c r="N424" s="30" t="n"/>
      <c r="O424" s="31">
        <f>IF(N424="","",IF(G424="Revenue",ROUND(N424*VATRate,2),0))</f>
        <v/>
      </c>
      <c r="P424" s="31">
        <f>IF(N424="","",N424+O424)</f>
        <v/>
      </c>
    </row>
    <row r="425">
      <c r="A425" s="26" t="n"/>
      <c r="B425" s="27">
        <f>IF(A425="","",IF(OR(A425&lt;MIN(Lists!$C$4:$C$15),A425&gt;MAX(Lists!$D$4:$D$15)),"No period",INDEX(Lists!$B$4:$B$15,MATCH(A425,Lists!$C$4:$C$15,1))))</f>
        <v/>
      </c>
      <c r="C425" s="28">
        <f>IF(B425="","",IFERROR(INDEX(Lists!$A$4:$A$15,MATCH(B425,Lists!$B$4:$B$15,0)),0))</f>
        <v/>
      </c>
      <c r="D425" s="25" t="n"/>
      <c r="E425" s="24" t="n"/>
      <c r="F425" s="27">
        <f>IF(E425="","",IFERROR(INDEX(Lists!$H$4:$H$40,MATCH(E425,Lists!$F$4:$F$40,0)),"UNMAPPED"))</f>
        <v/>
      </c>
      <c r="G425" s="25" t="n"/>
      <c r="H425" s="25" t="n"/>
      <c r="I425" s="25" t="n"/>
      <c r="J425" s="25" t="n"/>
      <c r="K425" s="25" t="n"/>
      <c r="L425" s="29" t="n"/>
      <c r="M425" s="25" t="n"/>
      <c r="N425" s="30" t="n"/>
      <c r="O425" s="31">
        <f>IF(N425="","",IF(G425="Revenue",ROUND(N425*VATRate,2),0))</f>
        <v/>
      </c>
      <c r="P425" s="31">
        <f>IF(N425="","",N425+O425)</f>
        <v/>
      </c>
    </row>
    <row r="426">
      <c r="A426" s="26" t="n"/>
      <c r="B426" s="27">
        <f>IF(A426="","",IF(OR(A426&lt;MIN(Lists!$C$4:$C$15),A426&gt;MAX(Lists!$D$4:$D$15)),"No period",INDEX(Lists!$B$4:$B$15,MATCH(A426,Lists!$C$4:$C$15,1))))</f>
        <v/>
      </c>
      <c r="C426" s="28">
        <f>IF(B426="","",IFERROR(INDEX(Lists!$A$4:$A$15,MATCH(B426,Lists!$B$4:$B$15,0)),0))</f>
        <v/>
      </c>
      <c r="D426" s="25" t="n"/>
      <c r="E426" s="24" t="n"/>
      <c r="F426" s="27">
        <f>IF(E426="","",IFERROR(INDEX(Lists!$H$4:$H$40,MATCH(E426,Lists!$F$4:$F$40,0)),"UNMAPPED"))</f>
        <v/>
      </c>
      <c r="G426" s="25" t="n"/>
      <c r="H426" s="25" t="n"/>
      <c r="I426" s="25" t="n"/>
      <c r="J426" s="25" t="n"/>
      <c r="K426" s="25" t="n"/>
      <c r="L426" s="29" t="n"/>
      <c r="M426" s="25" t="n"/>
      <c r="N426" s="30" t="n"/>
      <c r="O426" s="31">
        <f>IF(N426="","",IF(G426="Revenue",ROUND(N426*VATRate,2),0))</f>
        <v/>
      </c>
      <c r="P426" s="31">
        <f>IF(N426="","",N426+O426)</f>
        <v/>
      </c>
    </row>
    <row r="427">
      <c r="A427" s="26" t="n"/>
      <c r="B427" s="27">
        <f>IF(A427="","",IF(OR(A427&lt;MIN(Lists!$C$4:$C$15),A427&gt;MAX(Lists!$D$4:$D$15)),"No period",INDEX(Lists!$B$4:$B$15,MATCH(A427,Lists!$C$4:$C$15,1))))</f>
        <v/>
      </c>
      <c r="C427" s="28">
        <f>IF(B427="","",IFERROR(INDEX(Lists!$A$4:$A$15,MATCH(B427,Lists!$B$4:$B$15,0)),0))</f>
        <v/>
      </c>
      <c r="D427" s="25" t="n"/>
      <c r="E427" s="24" t="n"/>
      <c r="F427" s="27">
        <f>IF(E427="","",IFERROR(INDEX(Lists!$H$4:$H$40,MATCH(E427,Lists!$F$4:$F$40,0)),"UNMAPPED"))</f>
        <v/>
      </c>
      <c r="G427" s="25" t="n"/>
      <c r="H427" s="25" t="n"/>
      <c r="I427" s="25" t="n"/>
      <c r="J427" s="25" t="n"/>
      <c r="K427" s="25" t="n"/>
      <c r="L427" s="29" t="n"/>
      <c r="M427" s="25" t="n"/>
      <c r="N427" s="30" t="n"/>
      <c r="O427" s="31">
        <f>IF(N427="","",IF(G427="Revenue",ROUND(N427*VATRate,2),0))</f>
        <v/>
      </c>
      <c r="P427" s="31">
        <f>IF(N427="","",N427+O427)</f>
        <v/>
      </c>
    </row>
    <row r="428">
      <c r="A428" s="26" t="n"/>
      <c r="B428" s="27">
        <f>IF(A428="","",IF(OR(A428&lt;MIN(Lists!$C$4:$C$15),A428&gt;MAX(Lists!$D$4:$D$15)),"No period",INDEX(Lists!$B$4:$B$15,MATCH(A428,Lists!$C$4:$C$15,1))))</f>
        <v/>
      </c>
      <c r="C428" s="28">
        <f>IF(B428="","",IFERROR(INDEX(Lists!$A$4:$A$15,MATCH(B428,Lists!$B$4:$B$15,0)),0))</f>
        <v/>
      </c>
      <c r="D428" s="25" t="n"/>
      <c r="E428" s="24" t="n"/>
      <c r="F428" s="27">
        <f>IF(E428="","",IFERROR(INDEX(Lists!$H$4:$H$40,MATCH(E428,Lists!$F$4:$F$40,0)),"UNMAPPED"))</f>
        <v/>
      </c>
      <c r="G428" s="25" t="n"/>
      <c r="H428" s="25" t="n"/>
      <c r="I428" s="25" t="n"/>
      <c r="J428" s="25" t="n"/>
      <c r="K428" s="25" t="n"/>
      <c r="L428" s="29" t="n"/>
      <c r="M428" s="25" t="n"/>
      <c r="N428" s="30" t="n"/>
      <c r="O428" s="31">
        <f>IF(N428="","",IF(G428="Revenue",ROUND(N428*VATRate,2),0))</f>
        <v/>
      </c>
      <c r="P428" s="31">
        <f>IF(N428="","",N428+O428)</f>
        <v/>
      </c>
    </row>
    <row r="429">
      <c r="A429" s="26" t="n"/>
      <c r="B429" s="27">
        <f>IF(A429="","",IF(OR(A429&lt;MIN(Lists!$C$4:$C$15),A429&gt;MAX(Lists!$D$4:$D$15)),"No period",INDEX(Lists!$B$4:$B$15,MATCH(A429,Lists!$C$4:$C$15,1))))</f>
        <v/>
      </c>
      <c r="C429" s="28">
        <f>IF(B429="","",IFERROR(INDEX(Lists!$A$4:$A$15,MATCH(B429,Lists!$B$4:$B$15,0)),0))</f>
        <v/>
      </c>
      <c r="D429" s="25" t="n"/>
      <c r="E429" s="24" t="n"/>
      <c r="F429" s="27">
        <f>IF(E429="","",IFERROR(INDEX(Lists!$H$4:$H$40,MATCH(E429,Lists!$F$4:$F$40,0)),"UNMAPPED"))</f>
        <v/>
      </c>
      <c r="G429" s="25" t="n"/>
      <c r="H429" s="25" t="n"/>
      <c r="I429" s="25" t="n"/>
      <c r="J429" s="25" t="n"/>
      <c r="K429" s="25" t="n"/>
      <c r="L429" s="29" t="n"/>
      <c r="M429" s="25" t="n"/>
      <c r="N429" s="30" t="n"/>
      <c r="O429" s="31">
        <f>IF(N429="","",IF(G429="Revenue",ROUND(N429*VATRate,2),0))</f>
        <v/>
      </c>
      <c r="P429" s="31">
        <f>IF(N429="","",N429+O429)</f>
        <v/>
      </c>
    </row>
    <row r="430">
      <c r="A430" s="26" t="n"/>
      <c r="B430" s="27">
        <f>IF(A430="","",IF(OR(A430&lt;MIN(Lists!$C$4:$C$15),A430&gt;MAX(Lists!$D$4:$D$15)),"No period",INDEX(Lists!$B$4:$B$15,MATCH(A430,Lists!$C$4:$C$15,1))))</f>
        <v/>
      </c>
      <c r="C430" s="28">
        <f>IF(B430="","",IFERROR(INDEX(Lists!$A$4:$A$15,MATCH(B430,Lists!$B$4:$B$15,0)),0))</f>
        <v/>
      </c>
      <c r="D430" s="25" t="n"/>
      <c r="E430" s="24" t="n"/>
      <c r="F430" s="27">
        <f>IF(E430="","",IFERROR(INDEX(Lists!$H$4:$H$40,MATCH(E430,Lists!$F$4:$F$40,0)),"UNMAPPED"))</f>
        <v/>
      </c>
      <c r="G430" s="25" t="n"/>
      <c r="H430" s="25" t="n"/>
      <c r="I430" s="25" t="n"/>
      <c r="J430" s="25" t="n"/>
      <c r="K430" s="25" t="n"/>
      <c r="L430" s="29" t="n"/>
      <c r="M430" s="25" t="n"/>
      <c r="N430" s="30" t="n"/>
      <c r="O430" s="31">
        <f>IF(N430="","",IF(G430="Revenue",ROUND(N430*VATRate,2),0))</f>
        <v/>
      </c>
      <c r="P430" s="31">
        <f>IF(N430="","",N430+O430)</f>
        <v/>
      </c>
    </row>
    <row r="431">
      <c r="A431" s="26" t="n"/>
      <c r="B431" s="27">
        <f>IF(A431="","",IF(OR(A431&lt;MIN(Lists!$C$4:$C$15),A431&gt;MAX(Lists!$D$4:$D$15)),"No period",INDEX(Lists!$B$4:$B$15,MATCH(A431,Lists!$C$4:$C$15,1))))</f>
        <v/>
      </c>
      <c r="C431" s="28">
        <f>IF(B431="","",IFERROR(INDEX(Lists!$A$4:$A$15,MATCH(B431,Lists!$B$4:$B$15,0)),0))</f>
        <v/>
      </c>
      <c r="D431" s="25" t="n"/>
      <c r="E431" s="24" t="n"/>
      <c r="F431" s="27">
        <f>IF(E431="","",IFERROR(INDEX(Lists!$H$4:$H$40,MATCH(E431,Lists!$F$4:$F$40,0)),"UNMAPPED"))</f>
        <v/>
      </c>
      <c r="G431" s="25" t="n"/>
      <c r="H431" s="25" t="n"/>
      <c r="I431" s="25" t="n"/>
      <c r="J431" s="25" t="n"/>
      <c r="K431" s="25" t="n"/>
      <c r="L431" s="29" t="n"/>
      <c r="M431" s="25" t="n"/>
      <c r="N431" s="30" t="n"/>
      <c r="O431" s="31">
        <f>IF(N431="","",IF(G431="Revenue",ROUND(N431*VATRate,2),0))</f>
        <v/>
      </c>
      <c r="P431" s="31">
        <f>IF(N431="","",N431+O431)</f>
        <v/>
      </c>
    </row>
    <row r="432">
      <c r="A432" s="26" t="n"/>
      <c r="B432" s="27">
        <f>IF(A432="","",IF(OR(A432&lt;MIN(Lists!$C$4:$C$15),A432&gt;MAX(Lists!$D$4:$D$15)),"No period",INDEX(Lists!$B$4:$B$15,MATCH(A432,Lists!$C$4:$C$15,1))))</f>
        <v/>
      </c>
      <c r="C432" s="28">
        <f>IF(B432="","",IFERROR(INDEX(Lists!$A$4:$A$15,MATCH(B432,Lists!$B$4:$B$15,0)),0))</f>
        <v/>
      </c>
      <c r="D432" s="25" t="n"/>
      <c r="E432" s="24" t="n"/>
      <c r="F432" s="27">
        <f>IF(E432="","",IFERROR(INDEX(Lists!$H$4:$H$40,MATCH(E432,Lists!$F$4:$F$40,0)),"UNMAPPED"))</f>
        <v/>
      </c>
      <c r="G432" s="25" t="n"/>
      <c r="H432" s="25" t="n"/>
      <c r="I432" s="25" t="n"/>
      <c r="J432" s="25" t="n"/>
      <c r="K432" s="25" t="n"/>
      <c r="L432" s="29" t="n"/>
      <c r="M432" s="25" t="n"/>
      <c r="N432" s="30" t="n"/>
      <c r="O432" s="31">
        <f>IF(N432="","",IF(G432="Revenue",ROUND(N432*VATRate,2),0))</f>
        <v/>
      </c>
      <c r="P432" s="31">
        <f>IF(N432="","",N432+O432)</f>
        <v/>
      </c>
    </row>
    <row r="433">
      <c r="A433" s="26" t="n"/>
      <c r="B433" s="27">
        <f>IF(A433="","",IF(OR(A433&lt;MIN(Lists!$C$4:$C$15),A433&gt;MAX(Lists!$D$4:$D$15)),"No period",INDEX(Lists!$B$4:$B$15,MATCH(A433,Lists!$C$4:$C$15,1))))</f>
        <v/>
      </c>
      <c r="C433" s="28">
        <f>IF(B433="","",IFERROR(INDEX(Lists!$A$4:$A$15,MATCH(B433,Lists!$B$4:$B$15,0)),0))</f>
        <v/>
      </c>
      <c r="D433" s="25" t="n"/>
      <c r="E433" s="24" t="n"/>
      <c r="F433" s="27">
        <f>IF(E433="","",IFERROR(INDEX(Lists!$H$4:$H$40,MATCH(E433,Lists!$F$4:$F$40,0)),"UNMAPPED"))</f>
        <v/>
      </c>
      <c r="G433" s="25" t="n"/>
      <c r="H433" s="25" t="n"/>
      <c r="I433" s="25" t="n"/>
      <c r="J433" s="25" t="n"/>
      <c r="K433" s="25" t="n"/>
      <c r="L433" s="29" t="n"/>
      <c r="M433" s="25" t="n"/>
      <c r="N433" s="30" t="n"/>
      <c r="O433" s="31">
        <f>IF(N433="","",IF(G433="Revenue",ROUND(N433*VATRate,2),0))</f>
        <v/>
      </c>
      <c r="P433" s="31">
        <f>IF(N433="","",N433+O433)</f>
        <v/>
      </c>
    </row>
    <row r="434">
      <c r="A434" s="26" t="n"/>
      <c r="B434" s="27">
        <f>IF(A434="","",IF(OR(A434&lt;MIN(Lists!$C$4:$C$15),A434&gt;MAX(Lists!$D$4:$D$15)),"No period",INDEX(Lists!$B$4:$B$15,MATCH(A434,Lists!$C$4:$C$15,1))))</f>
        <v/>
      </c>
      <c r="C434" s="28">
        <f>IF(B434="","",IFERROR(INDEX(Lists!$A$4:$A$15,MATCH(B434,Lists!$B$4:$B$15,0)),0))</f>
        <v/>
      </c>
      <c r="D434" s="25" t="n"/>
      <c r="E434" s="24" t="n"/>
      <c r="F434" s="27">
        <f>IF(E434="","",IFERROR(INDEX(Lists!$H$4:$H$40,MATCH(E434,Lists!$F$4:$F$40,0)),"UNMAPPED"))</f>
        <v/>
      </c>
      <c r="G434" s="25" t="n"/>
      <c r="H434" s="25" t="n"/>
      <c r="I434" s="25" t="n"/>
      <c r="J434" s="25" t="n"/>
      <c r="K434" s="25" t="n"/>
      <c r="L434" s="29" t="n"/>
      <c r="M434" s="25" t="n"/>
      <c r="N434" s="30" t="n"/>
      <c r="O434" s="31">
        <f>IF(N434="","",IF(G434="Revenue",ROUND(N434*VATRate,2),0))</f>
        <v/>
      </c>
      <c r="P434" s="31">
        <f>IF(N434="","",N434+O434)</f>
        <v/>
      </c>
    </row>
    <row r="435">
      <c r="A435" s="26" t="n"/>
      <c r="B435" s="27">
        <f>IF(A435="","",IF(OR(A435&lt;MIN(Lists!$C$4:$C$15),A435&gt;MAX(Lists!$D$4:$D$15)),"No period",INDEX(Lists!$B$4:$B$15,MATCH(A435,Lists!$C$4:$C$15,1))))</f>
        <v/>
      </c>
      <c r="C435" s="28">
        <f>IF(B435="","",IFERROR(INDEX(Lists!$A$4:$A$15,MATCH(B435,Lists!$B$4:$B$15,0)),0))</f>
        <v/>
      </c>
      <c r="D435" s="25" t="n"/>
      <c r="E435" s="24" t="n"/>
      <c r="F435" s="27">
        <f>IF(E435="","",IFERROR(INDEX(Lists!$H$4:$H$40,MATCH(E435,Lists!$F$4:$F$40,0)),"UNMAPPED"))</f>
        <v/>
      </c>
      <c r="G435" s="25" t="n"/>
      <c r="H435" s="25" t="n"/>
      <c r="I435" s="25" t="n"/>
      <c r="J435" s="25" t="n"/>
      <c r="K435" s="25" t="n"/>
      <c r="L435" s="29" t="n"/>
      <c r="M435" s="25" t="n"/>
      <c r="N435" s="30" t="n"/>
      <c r="O435" s="31">
        <f>IF(N435="","",IF(G435="Revenue",ROUND(N435*VATRate,2),0))</f>
        <v/>
      </c>
      <c r="P435" s="31">
        <f>IF(N435="","",N435+O435)</f>
        <v/>
      </c>
    </row>
    <row r="436">
      <c r="A436" s="26" t="n"/>
      <c r="B436" s="27">
        <f>IF(A436="","",IF(OR(A436&lt;MIN(Lists!$C$4:$C$15),A436&gt;MAX(Lists!$D$4:$D$15)),"No period",INDEX(Lists!$B$4:$B$15,MATCH(A436,Lists!$C$4:$C$15,1))))</f>
        <v/>
      </c>
      <c r="C436" s="28">
        <f>IF(B436="","",IFERROR(INDEX(Lists!$A$4:$A$15,MATCH(B436,Lists!$B$4:$B$15,0)),0))</f>
        <v/>
      </c>
      <c r="D436" s="25" t="n"/>
      <c r="E436" s="24" t="n"/>
      <c r="F436" s="27">
        <f>IF(E436="","",IFERROR(INDEX(Lists!$H$4:$H$40,MATCH(E436,Lists!$F$4:$F$40,0)),"UNMAPPED"))</f>
        <v/>
      </c>
      <c r="G436" s="25" t="n"/>
      <c r="H436" s="25" t="n"/>
      <c r="I436" s="25" t="n"/>
      <c r="J436" s="25" t="n"/>
      <c r="K436" s="25" t="n"/>
      <c r="L436" s="29" t="n"/>
      <c r="M436" s="25" t="n"/>
      <c r="N436" s="30" t="n"/>
      <c r="O436" s="31">
        <f>IF(N436="","",IF(G436="Revenue",ROUND(N436*VATRate,2),0))</f>
        <v/>
      </c>
      <c r="P436" s="31">
        <f>IF(N436="","",N436+O436)</f>
        <v/>
      </c>
    </row>
    <row r="437">
      <c r="A437" s="26" t="n"/>
      <c r="B437" s="27">
        <f>IF(A437="","",IF(OR(A437&lt;MIN(Lists!$C$4:$C$15),A437&gt;MAX(Lists!$D$4:$D$15)),"No period",INDEX(Lists!$B$4:$B$15,MATCH(A437,Lists!$C$4:$C$15,1))))</f>
        <v/>
      </c>
      <c r="C437" s="28">
        <f>IF(B437="","",IFERROR(INDEX(Lists!$A$4:$A$15,MATCH(B437,Lists!$B$4:$B$15,0)),0))</f>
        <v/>
      </c>
      <c r="D437" s="25" t="n"/>
      <c r="E437" s="24" t="n"/>
      <c r="F437" s="27">
        <f>IF(E437="","",IFERROR(INDEX(Lists!$H$4:$H$40,MATCH(E437,Lists!$F$4:$F$40,0)),"UNMAPPED"))</f>
        <v/>
      </c>
      <c r="G437" s="25" t="n"/>
      <c r="H437" s="25" t="n"/>
      <c r="I437" s="25" t="n"/>
      <c r="J437" s="25" t="n"/>
      <c r="K437" s="25" t="n"/>
      <c r="L437" s="29" t="n"/>
      <c r="M437" s="25" t="n"/>
      <c r="N437" s="30" t="n"/>
      <c r="O437" s="31">
        <f>IF(N437="","",IF(G437="Revenue",ROUND(N437*VATRate,2),0))</f>
        <v/>
      </c>
      <c r="P437" s="31">
        <f>IF(N437="","",N437+O437)</f>
        <v/>
      </c>
    </row>
    <row r="438">
      <c r="A438" s="26" t="n"/>
      <c r="B438" s="27">
        <f>IF(A438="","",IF(OR(A438&lt;MIN(Lists!$C$4:$C$15),A438&gt;MAX(Lists!$D$4:$D$15)),"No period",INDEX(Lists!$B$4:$B$15,MATCH(A438,Lists!$C$4:$C$15,1))))</f>
        <v/>
      </c>
      <c r="C438" s="28">
        <f>IF(B438="","",IFERROR(INDEX(Lists!$A$4:$A$15,MATCH(B438,Lists!$B$4:$B$15,0)),0))</f>
        <v/>
      </c>
      <c r="D438" s="25" t="n"/>
      <c r="E438" s="24" t="n"/>
      <c r="F438" s="27">
        <f>IF(E438="","",IFERROR(INDEX(Lists!$H$4:$H$40,MATCH(E438,Lists!$F$4:$F$40,0)),"UNMAPPED"))</f>
        <v/>
      </c>
      <c r="G438" s="25" t="n"/>
      <c r="H438" s="25" t="n"/>
      <c r="I438" s="25" t="n"/>
      <c r="J438" s="25" t="n"/>
      <c r="K438" s="25" t="n"/>
      <c r="L438" s="29" t="n"/>
      <c r="M438" s="25" t="n"/>
      <c r="N438" s="30" t="n"/>
      <c r="O438" s="31">
        <f>IF(N438="","",IF(G438="Revenue",ROUND(N438*VATRate,2),0))</f>
        <v/>
      </c>
      <c r="P438" s="31">
        <f>IF(N438="","",N438+O438)</f>
        <v/>
      </c>
    </row>
    <row r="439">
      <c r="A439" s="26" t="n"/>
      <c r="B439" s="27">
        <f>IF(A439="","",IF(OR(A439&lt;MIN(Lists!$C$4:$C$15),A439&gt;MAX(Lists!$D$4:$D$15)),"No period",INDEX(Lists!$B$4:$B$15,MATCH(A439,Lists!$C$4:$C$15,1))))</f>
        <v/>
      </c>
      <c r="C439" s="28">
        <f>IF(B439="","",IFERROR(INDEX(Lists!$A$4:$A$15,MATCH(B439,Lists!$B$4:$B$15,0)),0))</f>
        <v/>
      </c>
      <c r="D439" s="25" t="n"/>
      <c r="E439" s="24" t="n"/>
      <c r="F439" s="27">
        <f>IF(E439="","",IFERROR(INDEX(Lists!$H$4:$H$40,MATCH(E439,Lists!$F$4:$F$40,0)),"UNMAPPED"))</f>
        <v/>
      </c>
      <c r="G439" s="25" t="n"/>
      <c r="H439" s="25" t="n"/>
      <c r="I439" s="25" t="n"/>
      <c r="J439" s="25" t="n"/>
      <c r="K439" s="25" t="n"/>
      <c r="L439" s="29" t="n"/>
      <c r="M439" s="25" t="n"/>
      <c r="N439" s="30" t="n"/>
      <c r="O439" s="31">
        <f>IF(N439="","",IF(G439="Revenue",ROUND(N439*VATRate,2),0))</f>
        <v/>
      </c>
      <c r="P439" s="31">
        <f>IF(N439="","",N439+O439)</f>
        <v/>
      </c>
    </row>
    <row r="440">
      <c r="A440" s="26" t="n"/>
      <c r="B440" s="27">
        <f>IF(A440="","",IF(OR(A440&lt;MIN(Lists!$C$4:$C$15),A440&gt;MAX(Lists!$D$4:$D$15)),"No period",INDEX(Lists!$B$4:$B$15,MATCH(A440,Lists!$C$4:$C$15,1))))</f>
        <v/>
      </c>
      <c r="C440" s="28">
        <f>IF(B440="","",IFERROR(INDEX(Lists!$A$4:$A$15,MATCH(B440,Lists!$B$4:$B$15,0)),0))</f>
        <v/>
      </c>
      <c r="D440" s="25" t="n"/>
      <c r="E440" s="24" t="n"/>
      <c r="F440" s="27">
        <f>IF(E440="","",IFERROR(INDEX(Lists!$H$4:$H$40,MATCH(E440,Lists!$F$4:$F$40,0)),"UNMAPPED"))</f>
        <v/>
      </c>
      <c r="G440" s="25" t="n"/>
      <c r="H440" s="25" t="n"/>
      <c r="I440" s="25" t="n"/>
      <c r="J440" s="25" t="n"/>
      <c r="K440" s="25" t="n"/>
      <c r="L440" s="29" t="n"/>
      <c r="M440" s="25" t="n"/>
      <c r="N440" s="30" t="n"/>
      <c r="O440" s="31">
        <f>IF(N440="","",IF(G440="Revenue",ROUND(N440*VATRate,2),0))</f>
        <v/>
      </c>
      <c r="P440" s="31">
        <f>IF(N440="","",N440+O440)</f>
        <v/>
      </c>
    </row>
    <row r="441">
      <c r="A441" s="26" t="n"/>
      <c r="B441" s="27">
        <f>IF(A441="","",IF(OR(A441&lt;MIN(Lists!$C$4:$C$15),A441&gt;MAX(Lists!$D$4:$D$15)),"No period",INDEX(Lists!$B$4:$B$15,MATCH(A441,Lists!$C$4:$C$15,1))))</f>
        <v/>
      </c>
      <c r="C441" s="28">
        <f>IF(B441="","",IFERROR(INDEX(Lists!$A$4:$A$15,MATCH(B441,Lists!$B$4:$B$15,0)),0))</f>
        <v/>
      </c>
      <c r="D441" s="25" t="n"/>
      <c r="E441" s="24" t="n"/>
      <c r="F441" s="27">
        <f>IF(E441="","",IFERROR(INDEX(Lists!$H$4:$H$40,MATCH(E441,Lists!$F$4:$F$40,0)),"UNMAPPED"))</f>
        <v/>
      </c>
      <c r="G441" s="25" t="n"/>
      <c r="H441" s="25" t="n"/>
      <c r="I441" s="25" t="n"/>
      <c r="J441" s="25" t="n"/>
      <c r="K441" s="25" t="n"/>
      <c r="L441" s="29" t="n"/>
      <c r="M441" s="25" t="n"/>
      <c r="N441" s="30" t="n"/>
      <c r="O441" s="31">
        <f>IF(N441="","",IF(G441="Revenue",ROUND(N441*VATRate,2),0))</f>
        <v/>
      </c>
      <c r="P441" s="31">
        <f>IF(N441="","",N441+O441)</f>
        <v/>
      </c>
    </row>
    <row r="442">
      <c r="A442" s="26" t="n"/>
      <c r="B442" s="27">
        <f>IF(A442="","",IF(OR(A442&lt;MIN(Lists!$C$4:$C$15),A442&gt;MAX(Lists!$D$4:$D$15)),"No period",INDEX(Lists!$B$4:$B$15,MATCH(A442,Lists!$C$4:$C$15,1))))</f>
        <v/>
      </c>
      <c r="C442" s="28">
        <f>IF(B442="","",IFERROR(INDEX(Lists!$A$4:$A$15,MATCH(B442,Lists!$B$4:$B$15,0)),0))</f>
        <v/>
      </c>
      <c r="D442" s="25" t="n"/>
      <c r="E442" s="24" t="n"/>
      <c r="F442" s="27">
        <f>IF(E442="","",IFERROR(INDEX(Lists!$H$4:$H$40,MATCH(E442,Lists!$F$4:$F$40,0)),"UNMAPPED"))</f>
        <v/>
      </c>
      <c r="G442" s="25" t="n"/>
      <c r="H442" s="25" t="n"/>
      <c r="I442" s="25" t="n"/>
      <c r="J442" s="25" t="n"/>
      <c r="K442" s="25" t="n"/>
      <c r="L442" s="29" t="n"/>
      <c r="M442" s="25" t="n"/>
      <c r="N442" s="30" t="n"/>
      <c r="O442" s="31">
        <f>IF(N442="","",IF(G442="Revenue",ROUND(N442*VATRate,2),0))</f>
        <v/>
      </c>
      <c r="P442" s="31">
        <f>IF(N442="","",N442+O442)</f>
        <v/>
      </c>
    </row>
    <row r="443">
      <c r="A443" s="26" t="n"/>
      <c r="B443" s="27">
        <f>IF(A443="","",IF(OR(A443&lt;MIN(Lists!$C$4:$C$15),A443&gt;MAX(Lists!$D$4:$D$15)),"No period",INDEX(Lists!$B$4:$B$15,MATCH(A443,Lists!$C$4:$C$15,1))))</f>
        <v/>
      </c>
      <c r="C443" s="28">
        <f>IF(B443="","",IFERROR(INDEX(Lists!$A$4:$A$15,MATCH(B443,Lists!$B$4:$B$15,0)),0))</f>
        <v/>
      </c>
      <c r="D443" s="25" t="n"/>
      <c r="E443" s="24" t="n"/>
      <c r="F443" s="27">
        <f>IF(E443="","",IFERROR(INDEX(Lists!$H$4:$H$40,MATCH(E443,Lists!$F$4:$F$40,0)),"UNMAPPED"))</f>
        <v/>
      </c>
      <c r="G443" s="25" t="n"/>
      <c r="H443" s="25" t="n"/>
      <c r="I443" s="25" t="n"/>
      <c r="J443" s="25" t="n"/>
      <c r="K443" s="25" t="n"/>
      <c r="L443" s="29" t="n"/>
      <c r="M443" s="25" t="n"/>
      <c r="N443" s="30" t="n"/>
      <c r="O443" s="31">
        <f>IF(N443="","",IF(G443="Revenue",ROUND(N443*VATRate,2),0))</f>
        <v/>
      </c>
      <c r="P443" s="31">
        <f>IF(N443="","",N443+O443)</f>
        <v/>
      </c>
    </row>
    <row r="444">
      <c r="A444" s="26" t="n"/>
      <c r="B444" s="27">
        <f>IF(A444="","",IF(OR(A444&lt;MIN(Lists!$C$4:$C$15),A444&gt;MAX(Lists!$D$4:$D$15)),"No period",INDEX(Lists!$B$4:$B$15,MATCH(A444,Lists!$C$4:$C$15,1))))</f>
        <v/>
      </c>
      <c r="C444" s="28">
        <f>IF(B444="","",IFERROR(INDEX(Lists!$A$4:$A$15,MATCH(B444,Lists!$B$4:$B$15,0)),0))</f>
        <v/>
      </c>
      <c r="D444" s="25" t="n"/>
      <c r="E444" s="24" t="n"/>
      <c r="F444" s="27">
        <f>IF(E444="","",IFERROR(INDEX(Lists!$H$4:$H$40,MATCH(E444,Lists!$F$4:$F$40,0)),"UNMAPPED"))</f>
        <v/>
      </c>
      <c r="G444" s="25" t="n"/>
      <c r="H444" s="25" t="n"/>
      <c r="I444" s="25" t="n"/>
      <c r="J444" s="25" t="n"/>
      <c r="K444" s="25" t="n"/>
      <c r="L444" s="29" t="n"/>
      <c r="M444" s="25" t="n"/>
      <c r="N444" s="30" t="n"/>
      <c r="O444" s="31">
        <f>IF(N444="","",IF(G444="Revenue",ROUND(N444*VATRate,2),0))</f>
        <v/>
      </c>
      <c r="P444" s="31">
        <f>IF(N444="","",N444+O444)</f>
        <v/>
      </c>
    </row>
    <row r="445">
      <c r="A445" s="26" t="n"/>
      <c r="B445" s="27">
        <f>IF(A445="","",IF(OR(A445&lt;MIN(Lists!$C$4:$C$15),A445&gt;MAX(Lists!$D$4:$D$15)),"No period",INDEX(Lists!$B$4:$B$15,MATCH(A445,Lists!$C$4:$C$15,1))))</f>
        <v/>
      </c>
      <c r="C445" s="28">
        <f>IF(B445="","",IFERROR(INDEX(Lists!$A$4:$A$15,MATCH(B445,Lists!$B$4:$B$15,0)),0))</f>
        <v/>
      </c>
      <c r="D445" s="25" t="n"/>
      <c r="E445" s="24" t="n"/>
      <c r="F445" s="27">
        <f>IF(E445="","",IFERROR(INDEX(Lists!$H$4:$H$40,MATCH(E445,Lists!$F$4:$F$40,0)),"UNMAPPED"))</f>
        <v/>
      </c>
      <c r="G445" s="25" t="n"/>
      <c r="H445" s="25" t="n"/>
      <c r="I445" s="25" t="n"/>
      <c r="J445" s="25" t="n"/>
      <c r="K445" s="25" t="n"/>
      <c r="L445" s="29" t="n"/>
      <c r="M445" s="25" t="n"/>
      <c r="N445" s="30" t="n"/>
      <c r="O445" s="31">
        <f>IF(N445="","",IF(G445="Revenue",ROUND(N445*VATRate,2),0))</f>
        <v/>
      </c>
      <c r="P445" s="31">
        <f>IF(N445="","",N445+O445)</f>
        <v/>
      </c>
    </row>
    <row r="446">
      <c r="A446" s="26" t="n"/>
      <c r="B446" s="27">
        <f>IF(A446="","",IF(OR(A446&lt;MIN(Lists!$C$4:$C$15),A446&gt;MAX(Lists!$D$4:$D$15)),"No period",INDEX(Lists!$B$4:$B$15,MATCH(A446,Lists!$C$4:$C$15,1))))</f>
        <v/>
      </c>
      <c r="C446" s="28">
        <f>IF(B446="","",IFERROR(INDEX(Lists!$A$4:$A$15,MATCH(B446,Lists!$B$4:$B$15,0)),0))</f>
        <v/>
      </c>
      <c r="D446" s="25" t="n"/>
      <c r="E446" s="24" t="n"/>
      <c r="F446" s="27">
        <f>IF(E446="","",IFERROR(INDEX(Lists!$H$4:$H$40,MATCH(E446,Lists!$F$4:$F$40,0)),"UNMAPPED"))</f>
        <v/>
      </c>
      <c r="G446" s="25" t="n"/>
      <c r="H446" s="25" t="n"/>
      <c r="I446" s="25" t="n"/>
      <c r="J446" s="25" t="n"/>
      <c r="K446" s="25" t="n"/>
      <c r="L446" s="29" t="n"/>
      <c r="M446" s="25" t="n"/>
      <c r="N446" s="30" t="n"/>
      <c r="O446" s="31">
        <f>IF(N446="","",IF(G446="Revenue",ROUND(N446*VATRate,2),0))</f>
        <v/>
      </c>
      <c r="P446" s="31">
        <f>IF(N446="","",N446+O446)</f>
        <v/>
      </c>
    </row>
    <row r="447">
      <c r="A447" s="26" t="n"/>
      <c r="B447" s="27">
        <f>IF(A447="","",IF(OR(A447&lt;MIN(Lists!$C$4:$C$15),A447&gt;MAX(Lists!$D$4:$D$15)),"No period",INDEX(Lists!$B$4:$B$15,MATCH(A447,Lists!$C$4:$C$15,1))))</f>
        <v/>
      </c>
      <c r="C447" s="28">
        <f>IF(B447="","",IFERROR(INDEX(Lists!$A$4:$A$15,MATCH(B447,Lists!$B$4:$B$15,0)),0))</f>
        <v/>
      </c>
      <c r="D447" s="25" t="n"/>
      <c r="E447" s="24" t="n"/>
      <c r="F447" s="27">
        <f>IF(E447="","",IFERROR(INDEX(Lists!$H$4:$H$40,MATCH(E447,Lists!$F$4:$F$40,0)),"UNMAPPED"))</f>
        <v/>
      </c>
      <c r="G447" s="25" t="n"/>
      <c r="H447" s="25" t="n"/>
      <c r="I447" s="25" t="n"/>
      <c r="J447" s="25" t="n"/>
      <c r="K447" s="25" t="n"/>
      <c r="L447" s="29" t="n"/>
      <c r="M447" s="25" t="n"/>
      <c r="N447" s="30" t="n"/>
      <c r="O447" s="31">
        <f>IF(N447="","",IF(G447="Revenue",ROUND(N447*VATRate,2),0))</f>
        <v/>
      </c>
      <c r="P447" s="31">
        <f>IF(N447="","",N447+O447)</f>
        <v/>
      </c>
    </row>
    <row r="448">
      <c r="A448" s="26" t="n"/>
      <c r="B448" s="27">
        <f>IF(A448="","",IF(OR(A448&lt;MIN(Lists!$C$4:$C$15),A448&gt;MAX(Lists!$D$4:$D$15)),"No period",INDEX(Lists!$B$4:$B$15,MATCH(A448,Lists!$C$4:$C$15,1))))</f>
        <v/>
      </c>
      <c r="C448" s="28">
        <f>IF(B448="","",IFERROR(INDEX(Lists!$A$4:$A$15,MATCH(B448,Lists!$B$4:$B$15,0)),0))</f>
        <v/>
      </c>
      <c r="D448" s="25" t="n"/>
      <c r="E448" s="24" t="n"/>
      <c r="F448" s="27">
        <f>IF(E448="","",IFERROR(INDEX(Lists!$H$4:$H$40,MATCH(E448,Lists!$F$4:$F$40,0)),"UNMAPPED"))</f>
        <v/>
      </c>
      <c r="G448" s="25" t="n"/>
      <c r="H448" s="25" t="n"/>
      <c r="I448" s="25" t="n"/>
      <c r="J448" s="25" t="n"/>
      <c r="K448" s="25" t="n"/>
      <c r="L448" s="29" t="n"/>
      <c r="M448" s="25" t="n"/>
      <c r="N448" s="30" t="n"/>
      <c r="O448" s="31">
        <f>IF(N448="","",IF(G448="Revenue",ROUND(N448*VATRate,2),0))</f>
        <v/>
      </c>
      <c r="P448" s="31">
        <f>IF(N448="","",N448+O448)</f>
        <v/>
      </c>
    </row>
    <row r="449">
      <c r="A449" s="26" t="n"/>
      <c r="B449" s="27">
        <f>IF(A449="","",IF(OR(A449&lt;MIN(Lists!$C$4:$C$15),A449&gt;MAX(Lists!$D$4:$D$15)),"No period",INDEX(Lists!$B$4:$B$15,MATCH(A449,Lists!$C$4:$C$15,1))))</f>
        <v/>
      </c>
      <c r="C449" s="28">
        <f>IF(B449="","",IFERROR(INDEX(Lists!$A$4:$A$15,MATCH(B449,Lists!$B$4:$B$15,0)),0))</f>
        <v/>
      </c>
      <c r="D449" s="25" t="n"/>
      <c r="E449" s="24" t="n"/>
      <c r="F449" s="27">
        <f>IF(E449="","",IFERROR(INDEX(Lists!$H$4:$H$40,MATCH(E449,Lists!$F$4:$F$40,0)),"UNMAPPED"))</f>
        <v/>
      </c>
      <c r="G449" s="25" t="n"/>
      <c r="H449" s="25" t="n"/>
      <c r="I449" s="25" t="n"/>
      <c r="J449" s="25" t="n"/>
      <c r="K449" s="25" t="n"/>
      <c r="L449" s="29" t="n"/>
      <c r="M449" s="25" t="n"/>
      <c r="N449" s="30" t="n"/>
      <c r="O449" s="31">
        <f>IF(N449="","",IF(G449="Revenue",ROUND(N449*VATRate,2),0))</f>
        <v/>
      </c>
      <c r="P449" s="31">
        <f>IF(N449="","",N449+O449)</f>
        <v/>
      </c>
    </row>
    <row r="450">
      <c r="A450" s="26" t="n"/>
      <c r="B450" s="27">
        <f>IF(A450="","",IF(OR(A450&lt;MIN(Lists!$C$4:$C$15),A450&gt;MAX(Lists!$D$4:$D$15)),"No period",INDEX(Lists!$B$4:$B$15,MATCH(A450,Lists!$C$4:$C$15,1))))</f>
        <v/>
      </c>
      <c r="C450" s="28">
        <f>IF(B450="","",IFERROR(INDEX(Lists!$A$4:$A$15,MATCH(B450,Lists!$B$4:$B$15,0)),0))</f>
        <v/>
      </c>
      <c r="D450" s="25" t="n"/>
      <c r="E450" s="24" t="n"/>
      <c r="F450" s="27">
        <f>IF(E450="","",IFERROR(INDEX(Lists!$H$4:$H$40,MATCH(E450,Lists!$F$4:$F$40,0)),"UNMAPPED"))</f>
        <v/>
      </c>
      <c r="G450" s="25" t="n"/>
      <c r="H450" s="25" t="n"/>
      <c r="I450" s="25" t="n"/>
      <c r="J450" s="25" t="n"/>
      <c r="K450" s="25" t="n"/>
      <c r="L450" s="29" t="n"/>
      <c r="M450" s="25" t="n"/>
      <c r="N450" s="30" t="n"/>
      <c r="O450" s="31">
        <f>IF(N450="","",IF(G450="Revenue",ROUND(N450*VATRate,2),0))</f>
        <v/>
      </c>
      <c r="P450" s="31">
        <f>IF(N450="","",N450+O450)</f>
        <v/>
      </c>
    </row>
    <row r="451">
      <c r="A451" s="26" t="n"/>
      <c r="B451" s="27">
        <f>IF(A451="","",IF(OR(A451&lt;MIN(Lists!$C$4:$C$15),A451&gt;MAX(Lists!$D$4:$D$15)),"No period",INDEX(Lists!$B$4:$B$15,MATCH(A451,Lists!$C$4:$C$15,1))))</f>
        <v/>
      </c>
      <c r="C451" s="28">
        <f>IF(B451="","",IFERROR(INDEX(Lists!$A$4:$A$15,MATCH(B451,Lists!$B$4:$B$15,0)),0))</f>
        <v/>
      </c>
      <c r="D451" s="25" t="n"/>
      <c r="E451" s="24" t="n"/>
      <c r="F451" s="27">
        <f>IF(E451="","",IFERROR(INDEX(Lists!$H$4:$H$40,MATCH(E451,Lists!$F$4:$F$40,0)),"UNMAPPED"))</f>
        <v/>
      </c>
      <c r="G451" s="25" t="n"/>
      <c r="H451" s="25" t="n"/>
      <c r="I451" s="25" t="n"/>
      <c r="J451" s="25" t="n"/>
      <c r="K451" s="25" t="n"/>
      <c r="L451" s="29" t="n"/>
      <c r="M451" s="25" t="n"/>
      <c r="N451" s="30" t="n"/>
      <c r="O451" s="31">
        <f>IF(N451="","",IF(G451="Revenue",ROUND(N451*VATRate,2),0))</f>
        <v/>
      </c>
      <c r="P451" s="31">
        <f>IF(N451="","",N451+O451)</f>
        <v/>
      </c>
    </row>
    <row r="452">
      <c r="A452" s="26" t="n"/>
      <c r="B452" s="27">
        <f>IF(A452="","",IF(OR(A452&lt;MIN(Lists!$C$4:$C$15),A452&gt;MAX(Lists!$D$4:$D$15)),"No period",INDEX(Lists!$B$4:$B$15,MATCH(A452,Lists!$C$4:$C$15,1))))</f>
        <v/>
      </c>
      <c r="C452" s="28">
        <f>IF(B452="","",IFERROR(INDEX(Lists!$A$4:$A$15,MATCH(B452,Lists!$B$4:$B$15,0)),0))</f>
        <v/>
      </c>
      <c r="D452" s="25" t="n"/>
      <c r="E452" s="24" t="n"/>
      <c r="F452" s="27">
        <f>IF(E452="","",IFERROR(INDEX(Lists!$H$4:$H$40,MATCH(E452,Lists!$F$4:$F$40,0)),"UNMAPPED"))</f>
        <v/>
      </c>
      <c r="G452" s="25" t="n"/>
      <c r="H452" s="25" t="n"/>
      <c r="I452" s="25" t="n"/>
      <c r="J452" s="25" t="n"/>
      <c r="K452" s="25" t="n"/>
      <c r="L452" s="29" t="n"/>
      <c r="M452" s="25" t="n"/>
      <c r="N452" s="30" t="n"/>
      <c r="O452" s="31">
        <f>IF(N452="","",IF(G452="Revenue",ROUND(N452*VATRate,2),0))</f>
        <v/>
      </c>
      <c r="P452" s="31">
        <f>IF(N452="","",N452+O452)</f>
        <v/>
      </c>
    </row>
    <row r="453">
      <c r="A453" s="26" t="n"/>
      <c r="B453" s="27">
        <f>IF(A453="","",IF(OR(A453&lt;MIN(Lists!$C$4:$C$15),A453&gt;MAX(Lists!$D$4:$D$15)),"No period",INDEX(Lists!$B$4:$B$15,MATCH(A453,Lists!$C$4:$C$15,1))))</f>
        <v/>
      </c>
      <c r="C453" s="28">
        <f>IF(B453="","",IFERROR(INDEX(Lists!$A$4:$A$15,MATCH(B453,Lists!$B$4:$B$15,0)),0))</f>
        <v/>
      </c>
      <c r="D453" s="25" t="n"/>
      <c r="E453" s="24" t="n"/>
      <c r="F453" s="27">
        <f>IF(E453="","",IFERROR(INDEX(Lists!$H$4:$H$40,MATCH(E453,Lists!$F$4:$F$40,0)),"UNMAPPED"))</f>
        <v/>
      </c>
      <c r="G453" s="25" t="n"/>
      <c r="H453" s="25" t="n"/>
      <c r="I453" s="25" t="n"/>
      <c r="J453" s="25" t="n"/>
      <c r="K453" s="25" t="n"/>
      <c r="L453" s="29" t="n"/>
      <c r="M453" s="25" t="n"/>
      <c r="N453" s="30" t="n"/>
      <c r="O453" s="31">
        <f>IF(N453="","",IF(G453="Revenue",ROUND(N453*VATRate,2),0))</f>
        <v/>
      </c>
      <c r="P453" s="31">
        <f>IF(N453="","",N453+O453)</f>
        <v/>
      </c>
    </row>
    <row r="454">
      <c r="A454" s="26" t="n"/>
      <c r="B454" s="27">
        <f>IF(A454="","",IF(OR(A454&lt;MIN(Lists!$C$4:$C$15),A454&gt;MAX(Lists!$D$4:$D$15)),"No period",INDEX(Lists!$B$4:$B$15,MATCH(A454,Lists!$C$4:$C$15,1))))</f>
        <v/>
      </c>
      <c r="C454" s="28">
        <f>IF(B454="","",IFERROR(INDEX(Lists!$A$4:$A$15,MATCH(B454,Lists!$B$4:$B$15,0)),0))</f>
        <v/>
      </c>
      <c r="D454" s="25" t="n"/>
      <c r="E454" s="24" t="n"/>
      <c r="F454" s="27">
        <f>IF(E454="","",IFERROR(INDEX(Lists!$H$4:$H$40,MATCH(E454,Lists!$F$4:$F$40,0)),"UNMAPPED"))</f>
        <v/>
      </c>
      <c r="G454" s="25" t="n"/>
      <c r="H454" s="25" t="n"/>
      <c r="I454" s="25" t="n"/>
      <c r="J454" s="25" t="n"/>
      <c r="K454" s="25" t="n"/>
      <c r="L454" s="29" t="n"/>
      <c r="M454" s="25" t="n"/>
      <c r="N454" s="30" t="n"/>
      <c r="O454" s="31">
        <f>IF(N454="","",IF(G454="Revenue",ROUND(N454*VATRate,2),0))</f>
        <v/>
      </c>
      <c r="P454" s="31">
        <f>IF(N454="","",N454+O454)</f>
        <v/>
      </c>
    </row>
    <row r="455">
      <c r="A455" s="26" t="n"/>
      <c r="B455" s="27">
        <f>IF(A455="","",IF(OR(A455&lt;MIN(Lists!$C$4:$C$15),A455&gt;MAX(Lists!$D$4:$D$15)),"No period",INDEX(Lists!$B$4:$B$15,MATCH(A455,Lists!$C$4:$C$15,1))))</f>
        <v/>
      </c>
      <c r="C455" s="28">
        <f>IF(B455="","",IFERROR(INDEX(Lists!$A$4:$A$15,MATCH(B455,Lists!$B$4:$B$15,0)),0))</f>
        <v/>
      </c>
      <c r="D455" s="25" t="n"/>
      <c r="E455" s="24" t="n"/>
      <c r="F455" s="27">
        <f>IF(E455="","",IFERROR(INDEX(Lists!$H$4:$H$40,MATCH(E455,Lists!$F$4:$F$40,0)),"UNMAPPED"))</f>
        <v/>
      </c>
      <c r="G455" s="25" t="n"/>
      <c r="H455" s="25" t="n"/>
      <c r="I455" s="25" t="n"/>
      <c r="J455" s="25" t="n"/>
      <c r="K455" s="25" t="n"/>
      <c r="L455" s="29" t="n"/>
      <c r="M455" s="25" t="n"/>
      <c r="N455" s="30" t="n"/>
      <c r="O455" s="31">
        <f>IF(N455="","",IF(G455="Revenue",ROUND(N455*VATRate,2),0))</f>
        <v/>
      </c>
      <c r="P455" s="31">
        <f>IF(N455="","",N455+O455)</f>
        <v/>
      </c>
    </row>
    <row r="456">
      <c r="A456" s="26" t="n"/>
      <c r="B456" s="27">
        <f>IF(A456="","",IF(OR(A456&lt;MIN(Lists!$C$4:$C$15),A456&gt;MAX(Lists!$D$4:$D$15)),"No period",INDEX(Lists!$B$4:$B$15,MATCH(A456,Lists!$C$4:$C$15,1))))</f>
        <v/>
      </c>
      <c r="C456" s="28">
        <f>IF(B456="","",IFERROR(INDEX(Lists!$A$4:$A$15,MATCH(B456,Lists!$B$4:$B$15,0)),0))</f>
        <v/>
      </c>
      <c r="D456" s="25" t="n"/>
      <c r="E456" s="24" t="n"/>
      <c r="F456" s="27">
        <f>IF(E456="","",IFERROR(INDEX(Lists!$H$4:$H$40,MATCH(E456,Lists!$F$4:$F$40,0)),"UNMAPPED"))</f>
        <v/>
      </c>
      <c r="G456" s="25" t="n"/>
      <c r="H456" s="25" t="n"/>
      <c r="I456" s="25" t="n"/>
      <c r="J456" s="25" t="n"/>
      <c r="K456" s="25" t="n"/>
      <c r="L456" s="29" t="n"/>
      <c r="M456" s="25" t="n"/>
      <c r="N456" s="30" t="n"/>
      <c r="O456" s="31">
        <f>IF(N456="","",IF(G456="Revenue",ROUND(N456*VATRate,2),0))</f>
        <v/>
      </c>
      <c r="P456" s="31">
        <f>IF(N456="","",N456+O456)</f>
        <v/>
      </c>
    </row>
    <row r="457">
      <c r="A457" s="26" t="n"/>
      <c r="B457" s="27">
        <f>IF(A457="","",IF(OR(A457&lt;MIN(Lists!$C$4:$C$15),A457&gt;MAX(Lists!$D$4:$D$15)),"No period",INDEX(Lists!$B$4:$B$15,MATCH(A457,Lists!$C$4:$C$15,1))))</f>
        <v/>
      </c>
      <c r="C457" s="28">
        <f>IF(B457="","",IFERROR(INDEX(Lists!$A$4:$A$15,MATCH(B457,Lists!$B$4:$B$15,0)),0))</f>
        <v/>
      </c>
      <c r="D457" s="25" t="n"/>
      <c r="E457" s="24" t="n"/>
      <c r="F457" s="27">
        <f>IF(E457="","",IFERROR(INDEX(Lists!$H$4:$H$40,MATCH(E457,Lists!$F$4:$F$40,0)),"UNMAPPED"))</f>
        <v/>
      </c>
      <c r="G457" s="25" t="n"/>
      <c r="H457" s="25" t="n"/>
      <c r="I457" s="25" t="n"/>
      <c r="J457" s="25" t="n"/>
      <c r="K457" s="25" t="n"/>
      <c r="L457" s="29" t="n"/>
      <c r="M457" s="25" t="n"/>
      <c r="N457" s="30" t="n"/>
      <c r="O457" s="31">
        <f>IF(N457="","",IF(G457="Revenue",ROUND(N457*VATRate,2),0))</f>
        <v/>
      </c>
      <c r="P457" s="31">
        <f>IF(N457="","",N457+O457)</f>
        <v/>
      </c>
    </row>
    <row r="458">
      <c r="A458" s="26" t="n"/>
      <c r="B458" s="27">
        <f>IF(A458="","",IF(OR(A458&lt;MIN(Lists!$C$4:$C$15),A458&gt;MAX(Lists!$D$4:$D$15)),"No period",INDEX(Lists!$B$4:$B$15,MATCH(A458,Lists!$C$4:$C$15,1))))</f>
        <v/>
      </c>
      <c r="C458" s="28">
        <f>IF(B458="","",IFERROR(INDEX(Lists!$A$4:$A$15,MATCH(B458,Lists!$B$4:$B$15,0)),0))</f>
        <v/>
      </c>
      <c r="D458" s="25" t="n"/>
      <c r="E458" s="24" t="n"/>
      <c r="F458" s="27">
        <f>IF(E458="","",IFERROR(INDEX(Lists!$H$4:$H$40,MATCH(E458,Lists!$F$4:$F$40,0)),"UNMAPPED"))</f>
        <v/>
      </c>
      <c r="G458" s="25" t="n"/>
      <c r="H458" s="25" t="n"/>
      <c r="I458" s="25" t="n"/>
      <c r="J458" s="25" t="n"/>
      <c r="K458" s="25" t="n"/>
      <c r="L458" s="29" t="n"/>
      <c r="M458" s="25" t="n"/>
      <c r="N458" s="30" t="n"/>
      <c r="O458" s="31">
        <f>IF(N458="","",IF(G458="Revenue",ROUND(N458*VATRate,2),0))</f>
        <v/>
      </c>
      <c r="P458" s="31">
        <f>IF(N458="","",N458+O458)</f>
        <v/>
      </c>
    </row>
    <row r="459">
      <c r="A459" s="26" t="n"/>
      <c r="B459" s="27">
        <f>IF(A459="","",IF(OR(A459&lt;MIN(Lists!$C$4:$C$15),A459&gt;MAX(Lists!$D$4:$D$15)),"No period",INDEX(Lists!$B$4:$B$15,MATCH(A459,Lists!$C$4:$C$15,1))))</f>
        <v/>
      </c>
      <c r="C459" s="28">
        <f>IF(B459="","",IFERROR(INDEX(Lists!$A$4:$A$15,MATCH(B459,Lists!$B$4:$B$15,0)),0))</f>
        <v/>
      </c>
      <c r="D459" s="25" t="n"/>
      <c r="E459" s="24" t="n"/>
      <c r="F459" s="27">
        <f>IF(E459="","",IFERROR(INDEX(Lists!$H$4:$H$40,MATCH(E459,Lists!$F$4:$F$40,0)),"UNMAPPED"))</f>
        <v/>
      </c>
      <c r="G459" s="25" t="n"/>
      <c r="H459" s="25" t="n"/>
      <c r="I459" s="25" t="n"/>
      <c r="J459" s="25" t="n"/>
      <c r="K459" s="25" t="n"/>
      <c r="L459" s="29" t="n"/>
      <c r="M459" s="25" t="n"/>
      <c r="N459" s="30" t="n"/>
      <c r="O459" s="31">
        <f>IF(N459="","",IF(G459="Revenue",ROUND(N459*VATRate,2),0))</f>
        <v/>
      </c>
      <c r="P459" s="31">
        <f>IF(N459="","",N459+O459)</f>
        <v/>
      </c>
    </row>
    <row r="460">
      <c r="A460" s="26" t="n"/>
      <c r="B460" s="27">
        <f>IF(A460="","",IF(OR(A460&lt;MIN(Lists!$C$4:$C$15),A460&gt;MAX(Lists!$D$4:$D$15)),"No period",INDEX(Lists!$B$4:$B$15,MATCH(A460,Lists!$C$4:$C$15,1))))</f>
        <v/>
      </c>
      <c r="C460" s="28">
        <f>IF(B460="","",IFERROR(INDEX(Lists!$A$4:$A$15,MATCH(B460,Lists!$B$4:$B$15,0)),0))</f>
        <v/>
      </c>
      <c r="D460" s="25" t="n"/>
      <c r="E460" s="24" t="n"/>
      <c r="F460" s="27">
        <f>IF(E460="","",IFERROR(INDEX(Lists!$H$4:$H$40,MATCH(E460,Lists!$F$4:$F$40,0)),"UNMAPPED"))</f>
        <v/>
      </c>
      <c r="G460" s="25" t="n"/>
      <c r="H460" s="25" t="n"/>
      <c r="I460" s="25" t="n"/>
      <c r="J460" s="25" t="n"/>
      <c r="K460" s="25" t="n"/>
      <c r="L460" s="29" t="n"/>
      <c r="M460" s="25" t="n"/>
      <c r="N460" s="30" t="n"/>
      <c r="O460" s="31">
        <f>IF(N460="","",IF(G460="Revenue",ROUND(N460*VATRate,2),0))</f>
        <v/>
      </c>
      <c r="P460" s="31">
        <f>IF(N460="","",N460+O460)</f>
        <v/>
      </c>
    </row>
    <row r="461">
      <c r="A461" s="26" t="n"/>
      <c r="B461" s="27">
        <f>IF(A461="","",IF(OR(A461&lt;MIN(Lists!$C$4:$C$15),A461&gt;MAX(Lists!$D$4:$D$15)),"No period",INDEX(Lists!$B$4:$B$15,MATCH(A461,Lists!$C$4:$C$15,1))))</f>
        <v/>
      </c>
      <c r="C461" s="28">
        <f>IF(B461="","",IFERROR(INDEX(Lists!$A$4:$A$15,MATCH(B461,Lists!$B$4:$B$15,0)),0))</f>
        <v/>
      </c>
      <c r="D461" s="25" t="n"/>
      <c r="E461" s="24" t="n"/>
      <c r="F461" s="27">
        <f>IF(E461="","",IFERROR(INDEX(Lists!$H$4:$H$40,MATCH(E461,Lists!$F$4:$F$40,0)),"UNMAPPED"))</f>
        <v/>
      </c>
      <c r="G461" s="25" t="n"/>
      <c r="H461" s="25" t="n"/>
      <c r="I461" s="25" t="n"/>
      <c r="J461" s="25" t="n"/>
      <c r="K461" s="25" t="n"/>
      <c r="L461" s="29" t="n"/>
      <c r="M461" s="25" t="n"/>
      <c r="N461" s="30" t="n"/>
      <c r="O461" s="31">
        <f>IF(N461="","",IF(G461="Revenue",ROUND(N461*VATRate,2),0))</f>
        <v/>
      </c>
      <c r="P461" s="31">
        <f>IF(N461="","",N461+O461)</f>
        <v/>
      </c>
    </row>
    <row r="462">
      <c r="A462" s="26" t="n"/>
      <c r="B462" s="27">
        <f>IF(A462="","",IF(OR(A462&lt;MIN(Lists!$C$4:$C$15),A462&gt;MAX(Lists!$D$4:$D$15)),"No period",INDEX(Lists!$B$4:$B$15,MATCH(A462,Lists!$C$4:$C$15,1))))</f>
        <v/>
      </c>
      <c r="C462" s="28">
        <f>IF(B462="","",IFERROR(INDEX(Lists!$A$4:$A$15,MATCH(B462,Lists!$B$4:$B$15,0)),0))</f>
        <v/>
      </c>
      <c r="D462" s="25" t="n"/>
      <c r="E462" s="24" t="n"/>
      <c r="F462" s="27">
        <f>IF(E462="","",IFERROR(INDEX(Lists!$H$4:$H$40,MATCH(E462,Lists!$F$4:$F$40,0)),"UNMAPPED"))</f>
        <v/>
      </c>
      <c r="G462" s="25" t="n"/>
      <c r="H462" s="25" t="n"/>
      <c r="I462" s="25" t="n"/>
      <c r="J462" s="25" t="n"/>
      <c r="K462" s="25" t="n"/>
      <c r="L462" s="29" t="n"/>
      <c r="M462" s="25" t="n"/>
      <c r="N462" s="30" t="n"/>
      <c r="O462" s="31">
        <f>IF(N462="","",IF(G462="Revenue",ROUND(N462*VATRate,2),0))</f>
        <v/>
      </c>
      <c r="P462" s="31">
        <f>IF(N462="","",N462+O462)</f>
        <v/>
      </c>
    </row>
    <row r="463">
      <c r="A463" s="26" t="n"/>
      <c r="B463" s="27">
        <f>IF(A463="","",IF(OR(A463&lt;MIN(Lists!$C$4:$C$15),A463&gt;MAX(Lists!$D$4:$D$15)),"No period",INDEX(Lists!$B$4:$B$15,MATCH(A463,Lists!$C$4:$C$15,1))))</f>
        <v/>
      </c>
      <c r="C463" s="28">
        <f>IF(B463="","",IFERROR(INDEX(Lists!$A$4:$A$15,MATCH(B463,Lists!$B$4:$B$15,0)),0))</f>
        <v/>
      </c>
      <c r="D463" s="25" t="n"/>
      <c r="E463" s="24" t="n"/>
      <c r="F463" s="27">
        <f>IF(E463="","",IFERROR(INDEX(Lists!$H$4:$H$40,MATCH(E463,Lists!$F$4:$F$40,0)),"UNMAPPED"))</f>
        <v/>
      </c>
      <c r="G463" s="25" t="n"/>
      <c r="H463" s="25" t="n"/>
      <c r="I463" s="25" t="n"/>
      <c r="J463" s="25" t="n"/>
      <c r="K463" s="25" t="n"/>
      <c r="L463" s="29" t="n"/>
      <c r="M463" s="25" t="n"/>
      <c r="N463" s="30" t="n"/>
      <c r="O463" s="31">
        <f>IF(N463="","",IF(G463="Revenue",ROUND(N463*VATRate,2),0))</f>
        <v/>
      </c>
      <c r="P463" s="31">
        <f>IF(N463="","",N463+O463)</f>
        <v/>
      </c>
    </row>
    <row r="464">
      <c r="A464" s="26" t="n"/>
      <c r="B464" s="27">
        <f>IF(A464="","",IF(OR(A464&lt;MIN(Lists!$C$4:$C$15),A464&gt;MAX(Lists!$D$4:$D$15)),"No period",INDEX(Lists!$B$4:$B$15,MATCH(A464,Lists!$C$4:$C$15,1))))</f>
        <v/>
      </c>
      <c r="C464" s="28">
        <f>IF(B464="","",IFERROR(INDEX(Lists!$A$4:$A$15,MATCH(B464,Lists!$B$4:$B$15,0)),0))</f>
        <v/>
      </c>
      <c r="D464" s="25" t="n"/>
      <c r="E464" s="24" t="n"/>
      <c r="F464" s="27">
        <f>IF(E464="","",IFERROR(INDEX(Lists!$H$4:$H$40,MATCH(E464,Lists!$F$4:$F$40,0)),"UNMAPPED"))</f>
        <v/>
      </c>
      <c r="G464" s="25" t="n"/>
      <c r="H464" s="25" t="n"/>
      <c r="I464" s="25" t="n"/>
      <c r="J464" s="25" t="n"/>
      <c r="K464" s="25" t="n"/>
      <c r="L464" s="29" t="n"/>
      <c r="M464" s="25" t="n"/>
      <c r="N464" s="30" t="n"/>
      <c r="O464" s="31">
        <f>IF(N464="","",IF(G464="Revenue",ROUND(N464*VATRate,2),0))</f>
        <v/>
      </c>
      <c r="P464" s="31">
        <f>IF(N464="","",N464+O464)</f>
        <v/>
      </c>
    </row>
    <row r="465">
      <c r="A465" s="26" t="n"/>
      <c r="B465" s="27">
        <f>IF(A465="","",IF(OR(A465&lt;MIN(Lists!$C$4:$C$15),A465&gt;MAX(Lists!$D$4:$D$15)),"No period",INDEX(Lists!$B$4:$B$15,MATCH(A465,Lists!$C$4:$C$15,1))))</f>
        <v/>
      </c>
      <c r="C465" s="28">
        <f>IF(B465="","",IFERROR(INDEX(Lists!$A$4:$A$15,MATCH(B465,Lists!$B$4:$B$15,0)),0))</f>
        <v/>
      </c>
      <c r="D465" s="25" t="n"/>
      <c r="E465" s="24" t="n"/>
      <c r="F465" s="27">
        <f>IF(E465="","",IFERROR(INDEX(Lists!$H$4:$H$40,MATCH(E465,Lists!$F$4:$F$40,0)),"UNMAPPED"))</f>
        <v/>
      </c>
      <c r="G465" s="25" t="n"/>
      <c r="H465" s="25" t="n"/>
      <c r="I465" s="25" t="n"/>
      <c r="J465" s="25" t="n"/>
      <c r="K465" s="25" t="n"/>
      <c r="L465" s="29" t="n"/>
      <c r="M465" s="25" t="n"/>
      <c r="N465" s="30" t="n"/>
      <c r="O465" s="31">
        <f>IF(N465="","",IF(G465="Revenue",ROUND(N465*VATRate,2),0))</f>
        <v/>
      </c>
      <c r="P465" s="31">
        <f>IF(N465="","",N465+O465)</f>
        <v/>
      </c>
    </row>
    <row r="466">
      <c r="A466" s="26" t="n"/>
      <c r="B466" s="27">
        <f>IF(A466="","",IF(OR(A466&lt;MIN(Lists!$C$4:$C$15),A466&gt;MAX(Lists!$D$4:$D$15)),"No period",INDEX(Lists!$B$4:$B$15,MATCH(A466,Lists!$C$4:$C$15,1))))</f>
        <v/>
      </c>
      <c r="C466" s="28">
        <f>IF(B466="","",IFERROR(INDEX(Lists!$A$4:$A$15,MATCH(B466,Lists!$B$4:$B$15,0)),0))</f>
        <v/>
      </c>
      <c r="D466" s="25" t="n"/>
      <c r="E466" s="24" t="n"/>
      <c r="F466" s="27">
        <f>IF(E466="","",IFERROR(INDEX(Lists!$H$4:$H$40,MATCH(E466,Lists!$F$4:$F$40,0)),"UNMAPPED"))</f>
        <v/>
      </c>
      <c r="G466" s="25" t="n"/>
      <c r="H466" s="25" t="n"/>
      <c r="I466" s="25" t="n"/>
      <c r="J466" s="25" t="n"/>
      <c r="K466" s="25" t="n"/>
      <c r="L466" s="29" t="n"/>
      <c r="M466" s="25" t="n"/>
      <c r="N466" s="30" t="n"/>
      <c r="O466" s="31">
        <f>IF(N466="","",IF(G466="Revenue",ROUND(N466*VATRate,2),0))</f>
        <v/>
      </c>
      <c r="P466" s="31">
        <f>IF(N466="","",N466+O466)</f>
        <v/>
      </c>
    </row>
    <row r="467">
      <c r="A467" s="26" t="n"/>
      <c r="B467" s="27">
        <f>IF(A467="","",IF(OR(A467&lt;MIN(Lists!$C$4:$C$15),A467&gt;MAX(Lists!$D$4:$D$15)),"No period",INDEX(Lists!$B$4:$B$15,MATCH(A467,Lists!$C$4:$C$15,1))))</f>
        <v/>
      </c>
      <c r="C467" s="28">
        <f>IF(B467="","",IFERROR(INDEX(Lists!$A$4:$A$15,MATCH(B467,Lists!$B$4:$B$15,0)),0))</f>
        <v/>
      </c>
      <c r="D467" s="25" t="n"/>
      <c r="E467" s="24" t="n"/>
      <c r="F467" s="27">
        <f>IF(E467="","",IFERROR(INDEX(Lists!$H$4:$H$40,MATCH(E467,Lists!$F$4:$F$40,0)),"UNMAPPED"))</f>
        <v/>
      </c>
      <c r="G467" s="25" t="n"/>
      <c r="H467" s="25" t="n"/>
      <c r="I467" s="25" t="n"/>
      <c r="J467" s="25" t="n"/>
      <c r="K467" s="25" t="n"/>
      <c r="L467" s="29" t="n"/>
      <c r="M467" s="25" t="n"/>
      <c r="N467" s="30" t="n"/>
      <c r="O467" s="31">
        <f>IF(N467="","",IF(G467="Revenue",ROUND(N467*VATRate,2),0))</f>
        <v/>
      </c>
      <c r="P467" s="31">
        <f>IF(N467="","",N467+O467)</f>
        <v/>
      </c>
    </row>
    <row r="468">
      <c r="A468" s="26" t="n"/>
      <c r="B468" s="27">
        <f>IF(A468="","",IF(OR(A468&lt;MIN(Lists!$C$4:$C$15),A468&gt;MAX(Lists!$D$4:$D$15)),"No period",INDEX(Lists!$B$4:$B$15,MATCH(A468,Lists!$C$4:$C$15,1))))</f>
        <v/>
      </c>
      <c r="C468" s="28">
        <f>IF(B468="","",IFERROR(INDEX(Lists!$A$4:$A$15,MATCH(B468,Lists!$B$4:$B$15,0)),0))</f>
        <v/>
      </c>
      <c r="D468" s="25" t="n"/>
      <c r="E468" s="24" t="n"/>
      <c r="F468" s="27">
        <f>IF(E468="","",IFERROR(INDEX(Lists!$H$4:$H$40,MATCH(E468,Lists!$F$4:$F$40,0)),"UNMAPPED"))</f>
        <v/>
      </c>
      <c r="G468" s="25" t="n"/>
      <c r="H468" s="25" t="n"/>
      <c r="I468" s="25" t="n"/>
      <c r="J468" s="25" t="n"/>
      <c r="K468" s="25" t="n"/>
      <c r="L468" s="29" t="n"/>
      <c r="M468" s="25" t="n"/>
      <c r="N468" s="30" t="n"/>
      <c r="O468" s="31">
        <f>IF(N468="","",IF(G468="Revenue",ROUND(N468*VATRate,2),0))</f>
        <v/>
      </c>
      <c r="P468" s="31">
        <f>IF(N468="","",N468+O468)</f>
        <v/>
      </c>
    </row>
    <row r="469">
      <c r="A469" s="26" t="n"/>
      <c r="B469" s="27">
        <f>IF(A469="","",IF(OR(A469&lt;MIN(Lists!$C$4:$C$15),A469&gt;MAX(Lists!$D$4:$D$15)),"No period",INDEX(Lists!$B$4:$B$15,MATCH(A469,Lists!$C$4:$C$15,1))))</f>
        <v/>
      </c>
      <c r="C469" s="28">
        <f>IF(B469="","",IFERROR(INDEX(Lists!$A$4:$A$15,MATCH(B469,Lists!$B$4:$B$15,0)),0))</f>
        <v/>
      </c>
      <c r="D469" s="25" t="n"/>
      <c r="E469" s="24" t="n"/>
      <c r="F469" s="27">
        <f>IF(E469="","",IFERROR(INDEX(Lists!$H$4:$H$40,MATCH(E469,Lists!$F$4:$F$40,0)),"UNMAPPED"))</f>
        <v/>
      </c>
      <c r="G469" s="25" t="n"/>
      <c r="H469" s="25" t="n"/>
      <c r="I469" s="25" t="n"/>
      <c r="J469" s="25" t="n"/>
      <c r="K469" s="25" t="n"/>
      <c r="L469" s="29" t="n"/>
      <c r="M469" s="25" t="n"/>
      <c r="N469" s="30" t="n"/>
      <c r="O469" s="31">
        <f>IF(N469="","",IF(G469="Revenue",ROUND(N469*VATRate,2),0))</f>
        <v/>
      </c>
      <c r="P469" s="31">
        <f>IF(N469="","",N469+O469)</f>
        <v/>
      </c>
    </row>
    <row r="470">
      <c r="A470" s="26" t="n"/>
      <c r="B470" s="27">
        <f>IF(A470="","",IF(OR(A470&lt;MIN(Lists!$C$4:$C$15),A470&gt;MAX(Lists!$D$4:$D$15)),"No period",INDEX(Lists!$B$4:$B$15,MATCH(A470,Lists!$C$4:$C$15,1))))</f>
        <v/>
      </c>
      <c r="C470" s="28">
        <f>IF(B470="","",IFERROR(INDEX(Lists!$A$4:$A$15,MATCH(B470,Lists!$B$4:$B$15,0)),0))</f>
        <v/>
      </c>
      <c r="D470" s="25" t="n"/>
      <c r="E470" s="24" t="n"/>
      <c r="F470" s="27">
        <f>IF(E470="","",IFERROR(INDEX(Lists!$H$4:$H$40,MATCH(E470,Lists!$F$4:$F$40,0)),"UNMAPPED"))</f>
        <v/>
      </c>
      <c r="G470" s="25" t="n"/>
      <c r="H470" s="25" t="n"/>
      <c r="I470" s="25" t="n"/>
      <c r="J470" s="25" t="n"/>
      <c r="K470" s="25" t="n"/>
      <c r="L470" s="29" t="n"/>
      <c r="M470" s="25" t="n"/>
      <c r="N470" s="30" t="n"/>
      <c r="O470" s="31">
        <f>IF(N470="","",IF(G470="Revenue",ROUND(N470*VATRate,2),0))</f>
        <v/>
      </c>
      <c r="P470" s="31">
        <f>IF(N470="","",N470+O470)</f>
        <v/>
      </c>
    </row>
    <row r="471">
      <c r="A471" s="26" t="n"/>
      <c r="B471" s="27">
        <f>IF(A471="","",IF(OR(A471&lt;MIN(Lists!$C$4:$C$15),A471&gt;MAX(Lists!$D$4:$D$15)),"No period",INDEX(Lists!$B$4:$B$15,MATCH(A471,Lists!$C$4:$C$15,1))))</f>
        <v/>
      </c>
      <c r="C471" s="28">
        <f>IF(B471="","",IFERROR(INDEX(Lists!$A$4:$A$15,MATCH(B471,Lists!$B$4:$B$15,0)),0))</f>
        <v/>
      </c>
      <c r="D471" s="25" t="n"/>
      <c r="E471" s="24" t="n"/>
      <c r="F471" s="27">
        <f>IF(E471="","",IFERROR(INDEX(Lists!$H$4:$H$40,MATCH(E471,Lists!$F$4:$F$40,0)),"UNMAPPED"))</f>
        <v/>
      </c>
      <c r="G471" s="25" t="n"/>
      <c r="H471" s="25" t="n"/>
      <c r="I471" s="25" t="n"/>
      <c r="J471" s="25" t="n"/>
      <c r="K471" s="25" t="n"/>
      <c r="L471" s="29" t="n"/>
      <c r="M471" s="25" t="n"/>
      <c r="N471" s="30" t="n"/>
      <c r="O471" s="31">
        <f>IF(N471="","",IF(G471="Revenue",ROUND(N471*VATRate,2),0))</f>
        <v/>
      </c>
      <c r="P471" s="31">
        <f>IF(N471="","",N471+O471)</f>
        <v/>
      </c>
    </row>
    <row r="472">
      <c r="A472" s="26" t="n"/>
      <c r="B472" s="27">
        <f>IF(A472="","",IF(OR(A472&lt;MIN(Lists!$C$4:$C$15),A472&gt;MAX(Lists!$D$4:$D$15)),"No period",INDEX(Lists!$B$4:$B$15,MATCH(A472,Lists!$C$4:$C$15,1))))</f>
        <v/>
      </c>
      <c r="C472" s="28">
        <f>IF(B472="","",IFERROR(INDEX(Lists!$A$4:$A$15,MATCH(B472,Lists!$B$4:$B$15,0)),0))</f>
        <v/>
      </c>
      <c r="D472" s="25" t="n"/>
      <c r="E472" s="24" t="n"/>
      <c r="F472" s="27">
        <f>IF(E472="","",IFERROR(INDEX(Lists!$H$4:$H$40,MATCH(E472,Lists!$F$4:$F$40,0)),"UNMAPPED"))</f>
        <v/>
      </c>
      <c r="G472" s="25" t="n"/>
      <c r="H472" s="25" t="n"/>
      <c r="I472" s="25" t="n"/>
      <c r="J472" s="25" t="n"/>
      <c r="K472" s="25" t="n"/>
      <c r="L472" s="29" t="n"/>
      <c r="M472" s="25" t="n"/>
      <c r="N472" s="30" t="n"/>
      <c r="O472" s="31">
        <f>IF(N472="","",IF(G472="Revenue",ROUND(N472*VATRate,2),0))</f>
        <v/>
      </c>
      <c r="P472" s="31">
        <f>IF(N472="","",N472+O472)</f>
        <v/>
      </c>
    </row>
    <row r="473">
      <c r="A473" s="26" t="n"/>
      <c r="B473" s="27">
        <f>IF(A473="","",IF(OR(A473&lt;MIN(Lists!$C$4:$C$15),A473&gt;MAX(Lists!$D$4:$D$15)),"No period",INDEX(Lists!$B$4:$B$15,MATCH(A473,Lists!$C$4:$C$15,1))))</f>
        <v/>
      </c>
      <c r="C473" s="28">
        <f>IF(B473="","",IFERROR(INDEX(Lists!$A$4:$A$15,MATCH(B473,Lists!$B$4:$B$15,0)),0))</f>
        <v/>
      </c>
      <c r="D473" s="25" t="n"/>
      <c r="E473" s="24" t="n"/>
      <c r="F473" s="27">
        <f>IF(E473="","",IFERROR(INDEX(Lists!$H$4:$H$40,MATCH(E473,Lists!$F$4:$F$40,0)),"UNMAPPED"))</f>
        <v/>
      </c>
      <c r="G473" s="25" t="n"/>
      <c r="H473" s="25" t="n"/>
      <c r="I473" s="25" t="n"/>
      <c r="J473" s="25" t="n"/>
      <c r="K473" s="25" t="n"/>
      <c r="L473" s="29" t="n"/>
      <c r="M473" s="25" t="n"/>
      <c r="N473" s="30" t="n"/>
      <c r="O473" s="31">
        <f>IF(N473="","",IF(G473="Revenue",ROUND(N473*VATRate,2),0))</f>
        <v/>
      </c>
      <c r="P473" s="31">
        <f>IF(N473="","",N473+O473)</f>
        <v/>
      </c>
    </row>
    <row r="474">
      <c r="A474" s="26" t="n"/>
      <c r="B474" s="27">
        <f>IF(A474="","",IF(OR(A474&lt;MIN(Lists!$C$4:$C$15),A474&gt;MAX(Lists!$D$4:$D$15)),"No period",INDEX(Lists!$B$4:$B$15,MATCH(A474,Lists!$C$4:$C$15,1))))</f>
        <v/>
      </c>
      <c r="C474" s="28">
        <f>IF(B474="","",IFERROR(INDEX(Lists!$A$4:$A$15,MATCH(B474,Lists!$B$4:$B$15,0)),0))</f>
        <v/>
      </c>
      <c r="D474" s="25" t="n"/>
      <c r="E474" s="24" t="n"/>
      <c r="F474" s="27">
        <f>IF(E474="","",IFERROR(INDEX(Lists!$H$4:$H$40,MATCH(E474,Lists!$F$4:$F$40,0)),"UNMAPPED"))</f>
        <v/>
      </c>
      <c r="G474" s="25" t="n"/>
      <c r="H474" s="25" t="n"/>
      <c r="I474" s="25" t="n"/>
      <c r="J474" s="25" t="n"/>
      <c r="K474" s="25" t="n"/>
      <c r="L474" s="29" t="n"/>
      <c r="M474" s="25" t="n"/>
      <c r="N474" s="30" t="n"/>
      <c r="O474" s="31">
        <f>IF(N474="","",IF(G474="Revenue",ROUND(N474*VATRate,2),0))</f>
        <v/>
      </c>
      <c r="P474" s="31">
        <f>IF(N474="","",N474+O474)</f>
        <v/>
      </c>
    </row>
    <row r="475">
      <c r="A475" s="26" t="n"/>
      <c r="B475" s="27">
        <f>IF(A475="","",IF(OR(A475&lt;MIN(Lists!$C$4:$C$15),A475&gt;MAX(Lists!$D$4:$D$15)),"No period",INDEX(Lists!$B$4:$B$15,MATCH(A475,Lists!$C$4:$C$15,1))))</f>
        <v/>
      </c>
      <c r="C475" s="28">
        <f>IF(B475="","",IFERROR(INDEX(Lists!$A$4:$A$15,MATCH(B475,Lists!$B$4:$B$15,0)),0))</f>
        <v/>
      </c>
      <c r="D475" s="25" t="n"/>
      <c r="E475" s="24" t="n"/>
      <c r="F475" s="27">
        <f>IF(E475="","",IFERROR(INDEX(Lists!$H$4:$H$40,MATCH(E475,Lists!$F$4:$F$40,0)),"UNMAPPED"))</f>
        <v/>
      </c>
      <c r="G475" s="25" t="n"/>
      <c r="H475" s="25" t="n"/>
      <c r="I475" s="25" t="n"/>
      <c r="J475" s="25" t="n"/>
      <c r="K475" s="25" t="n"/>
      <c r="L475" s="29" t="n"/>
      <c r="M475" s="25" t="n"/>
      <c r="N475" s="30" t="n"/>
      <c r="O475" s="31">
        <f>IF(N475="","",IF(G475="Revenue",ROUND(N475*VATRate,2),0))</f>
        <v/>
      </c>
      <c r="P475" s="31">
        <f>IF(N475="","",N475+O475)</f>
        <v/>
      </c>
    </row>
    <row r="476">
      <c r="A476" s="26" t="n"/>
      <c r="B476" s="27">
        <f>IF(A476="","",IF(OR(A476&lt;MIN(Lists!$C$4:$C$15),A476&gt;MAX(Lists!$D$4:$D$15)),"No period",INDEX(Lists!$B$4:$B$15,MATCH(A476,Lists!$C$4:$C$15,1))))</f>
        <v/>
      </c>
      <c r="C476" s="28">
        <f>IF(B476="","",IFERROR(INDEX(Lists!$A$4:$A$15,MATCH(B476,Lists!$B$4:$B$15,0)),0))</f>
        <v/>
      </c>
      <c r="D476" s="25" t="n"/>
      <c r="E476" s="24" t="n"/>
      <c r="F476" s="27">
        <f>IF(E476="","",IFERROR(INDEX(Lists!$H$4:$H$40,MATCH(E476,Lists!$F$4:$F$40,0)),"UNMAPPED"))</f>
        <v/>
      </c>
      <c r="G476" s="25" t="n"/>
      <c r="H476" s="25" t="n"/>
      <c r="I476" s="25" t="n"/>
      <c r="J476" s="25" t="n"/>
      <c r="K476" s="25" t="n"/>
      <c r="L476" s="29" t="n"/>
      <c r="M476" s="25" t="n"/>
      <c r="N476" s="30" t="n"/>
      <c r="O476" s="31">
        <f>IF(N476="","",IF(G476="Revenue",ROUND(N476*VATRate,2),0))</f>
        <v/>
      </c>
      <c r="P476" s="31">
        <f>IF(N476="","",N476+O476)</f>
        <v/>
      </c>
    </row>
    <row r="477">
      <c r="A477" s="26" t="n"/>
      <c r="B477" s="27">
        <f>IF(A477="","",IF(OR(A477&lt;MIN(Lists!$C$4:$C$15),A477&gt;MAX(Lists!$D$4:$D$15)),"No period",INDEX(Lists!$B$4:$B$15,MATCH(A477,Lists!$C$4:$C$15,1))))</f>
        <v/>
      </c>
      <c r="C477" s="28">
        <f>IF(B477="","",IFERROR(INDEX(Lists!$A$4:$A$15,MATCH(B477,Lists!$B$4:$B$15,0)),0))</f>
        <v/>
      </c>
      <c r="D477" s="25" t="n"/>
      <c r="E477" s="24" t="n"/>
      <c r="F477" s="27">
        <f>IF(E477="","",IFERROR(INDEX(Lists!$H$4:$H$40,MATCH(E477,Lists!$F$4:$F$40,0)),"UNMAPPED"))</f>
        <v/>
      </c>
      <c r="G477" s="25" t="n"/>
      <c r="H477" s="25" t="n"/>
      <c r="I477" s="25" t="n"/>
      <c r="J477" s="25" t="n"/>
      <c r="K477" s="25" t="n"/>
      <c r="L477" s="29" t="n"/>
      <c r="M477" s="25" t="n"/>
      <c r="N477" s="30" t="n"/>
      <c r="O477" s="31">
        <f>IF(N477="","",IF(G477="Revenue",ROUND(N477*VATRate,2),0))</f>
        <v/>
      </c>
      <c r="P477" s="31">
        <f>IF(N477="","",N477+O477)</f>
        <v/>
      </c>
    </row>
    <row r="478">
      <c r="A478" s="26" t="n"/>
      <c r="B478" s="27">
        <f>IF(A478="","",IF(OR(A478&lt;MIN(Lists!$C$4:$C$15),A478&gt;MAX(Lists!$D$4:$D$15)),"No period",INDEX(Lists!$B$4:$B$15,MATCH(A478,Lists!$C$4:$C$15,1))))</f>
        <v/>
      </c>
      <c r="C478" s="28">
        <f>IF(B478="","",IFERROR(INDEX(Lists!$A$4:$A$15,MATCH(B478,Lists!$B$4:$B$15,0)),0))</f>
        <v/>
      </c>
      <c r="D478" s="25" t="n"/>
      <c r="E478" s="24" t="n"/>
      <c r="F478" s="27">
        <f>IF(E478="","",IFERROR(INDEX(Lists!$H$4:$H$40,MATCH(E478,Lists!$F$4:$F$40,0)),"UNMAPPED"))</f>
        <v/>
      </c>
      <c r="G478" s="25" t="n"/>
      <c r="H478" s="25" t="n"/>
      <c r="I478" s="25" t="n"/>
      <c r="J478" s="25" t="n"/>
      <c r="K478" s="25" t="n"/>
      <c r="L478" s="29" t="n"/>
      <c r="M478" s="25" t="n"/>
      <c r="N478" s="30" t="n"/>
      <c r="O478" s="31">
        <f>IF(N478="","",IF(G478="Revenue",ROUND(N478*VATRate,2),0))</f>
        <v/>
      </c>
      <c r="P478" s="31">
        <f>IF(N478="","",N478+O478)</f>
        <v/>
      </c>
    </row>
    <row r="479">
      <c r="A479" s="26" t="n"/>
      <c r="B479" s="27">
        <f>IF(A479="","",IF(OR(A479&lt;MIN(Lists!$C$4:$C$15),A479&gt;MAX(Lists!$D$4:$D$15)),"No period",INDEX(Lists!$B$4:$B$15,MATCH(A479,Lists!$C$4:$C$15,1))))</f>
        <v/>
      </c>
      <c r="C479" s="28">
        <f>IF(B479="","",IFERROR(INDEX(Lists!$A$4:$A$15,MATCH(B479,Lists!$B$4:$B$15,0)),0))</f>
        <v/>
      </c>
      <c r="D479" s="25" t="n"/>
      <c r="E479" s="24" t="n"/>
      <c r="F479" s="27">
        <f>IF(E479="","",IFERROR(INDEX(Lists!$H$4:$H$40,MATCH(E479,Lists!$F$4:$F$40,0)),"UNMAPPED"))</f>
        <v/>
      </c>
      <c r="G479" s="25" t="n"/>
      <c r="H479" s="25" t="n"/>
      <c r="I479" s="25" t="n"/>
      <c r="J479" s="25" t="n"/>
      <c r="K479" s="25" t="n"/>
      <c r="L479" s="29" t="n"/>
      <c r="M479" s="25" t="n"/>
      <c r="N479" s="30" t="n"/>
      <c r="O479" s="31">
        <f>IF(N479="","",IF(G479="Revenue",ROUND(N479*VATRate,2),0))</f>
        <v/>
      </c>
      <c r="P479" s="31">
        <f>IF(N479="","",N479+O479)</f>
        <v/>
      </c>
    </row>
    <row r="480">
      <c r="A480" s="26" t="n"/>
      <c r="B480" s="27">
        <f>IF(A480="","",IF(OR(A480&lt;MIN(Lists!$C$4:$C$15),A480&gt;MAX(Lists!$D$4:$D$15)),"No period",INDEX(Lists!$B$4:$B$15,MATCH(A480,Lists!$C$4:$C$15,1))))</f>
        <v/>
      </c>
      <c r="C480" s="28">
        <f>IF(B480="","",IFERROR(INDEX(Lists!$A$4:$A$15,MATCH(B480,Lists!$B$4:$B$15,0)),0))</f>
        <v/>
      </c>
      <c r="D480" s="25" t="n"/>
      <c r="E480" s="24" t="n"/>
      <c r="F480" s="27">
        <f>IF(E480="","",IFERROR(INDEX(Lists!$H$4:$H$40,MATCH(E480,Lists!$F$4:$F$40,0)),"UNMAPPED"))</f>
        <v/>
      </c>
      <c r="G480" s="25" t="n"/>
      <c r="H480" s="25" t="n"/>
      <c r="I480" s="25" t="n"/>
      <c r="J480" s="25" t="n"/>
      <c r="K480" s="25" t="n"/>
      <c r="L480" s="29" t="n"/>
      <c r="M480" s="25" t="n"/>
      <c r="N480" s="30" t="n"/>
      <c r="O480" s="31">
        <f>IF(N480="","",IF(G480="Revenue",ROUND(N480*VATRate,2),0))</f>
        <v/>
      </c>
      <c r="P480" s="31">
        <f>IF(N480="","",N480+O480)</f>
        <v/>
      </c>
    </row>
    <row r="481">
      <c r="A481" s="26" t="n"/>
      <c r="B481" s="27">
        <f>IF(A481="","",IF(OR(A481&lt;MIN(Lists!$C$4:$C$15),A481&gt;MAX(Lists!$D$4:$D$15)),"No period",INDEX(Lists!$B$4:$B$15,MATCH(A481,Lists!$C$4:$C$15,1))))</f>
        <v/>
      </c>
      <c r="C481" s="28">
        <f>IF(B481="","",IFERROR(INDEX(Lists!$A$4:$A$15,MATCH(B481,Lists!$B$4:$B$15,0)),0))</f>
        <v/>
      </c>
      <c r="D481" s="25" t="n"/>
      <c r="E481" s="24" t="n"/>
      <c r="F481" s="27">
        <f>IF(E481="","",IFERROR(INDEX(Lists!$H$4:$H$40,MATCH(E481,Lists!$F$4:$F$40,0)),"UNMAPPED"))</f>
        <v/>
      </c>
      <c r="G481" s="25" t="n"/>
      <c r="H481" s="25" t="n"/>
      <c r="I481" s="25" t="n"/>
      <c r="J481" s="25" t="n"/>
      <c r="K481" s="25" t="n"/>
      <c r="L481" s="29" t="n"/>
      <c r="M481" s="25" t="n"/>
      <c r="N481" s="30" t="n"/>
      <c r="O481" s="31">
        <f>IF(N481="","",IF(G481="Revenue",ROUND(N481*VATRate,2),0))</f>
        <v/>
      </c>
      <c r="P481" s="31">
        <f>IF(N481="","",N481+O481)</f>
        <v/>
      </c>
    </row>
    <row r="482">
      <c r="A482" s="26" t="n"/>
      <c r="B482" s="27">
        <f>IF(A482="","",IF(OR(A482&lt;MIN(Lists!$C$4:$C$15),A482&gt;MAX(Lists!$D$4:$D$15)),"No period",INDEX(Lists!$B$4:$B$15,MATCH(A482,Lists!$C$4:$C$15,1))))</f>
        <v/>
      </c>
      <c r="C482" s="28">
        <f>IF(B482="","",IFERROR(INDEX(Lists!$A$4:$A$15,MATCH(B482,Lists!$B$4:$B$15,0)),0))</f>
        <v/>
      </c>
      <c r="D482" s="25" t="n"/>
      <c r="E482" s="24" t="n"/>
      <c r="F482" s="27">
        <f>IF(E482="","",IFERROR(INDEX(Lists!$H$4:$H$40,MATCH(E482,Lists!$F$4:$F$40,0)),"UNMAPPED"))</f>
        <v/>
      </c>
      <c r="G482" s="25" t="n"/>
      <c r="H482" s="25" t="n"/>
      <c r="I482" s="25" t="n"/>
      <c r="J482" s="25" t="n"/>
      <c r="K482" s="25" t="n"/>
      <c r="L482" s="29" t="n"/>
      <c r="M482" s="25" t="n"/>
      <c r="N482" s="30" t="n"/>
      <c r="O482" s="31">
        <f>IF(N482="","",IF(G482="Revenue",ROUND(N482*VATRate,2),0))</f>
        <v/>
      </c>
      <c r="P482" s="31">
        <f>IF(N482="","",N482+O482)</f>
        <v/>
      </c>
    </row>
    <row r="483">
      <c r="A483" s="26" t="n"/>
      <c r="B483" s="27">
        <f>IF(A483="","",IF(OR(A483&lt;MIN(Lists!$C$4:$C$15),A483&gt;MAX(Lists!$D$4:$D$15)),"No period",INDEX(Lists!$B$4:$B$15,MATCH(A483,Lists!$C$4:$C$15,1))))</f>
        <v/>
      </c>
      <c r="C483" s="28">
        <f>IF(B483="","",IFERROR(INDEX(Lists!$A$4:$A$15,MATCH(B483,Lists!$B$4:$B$15,0)),0))</f>
        <v/>
      </c>
      <c r="D483" s="25" t="n"/>
      <c r="E483" s="24" t="n"/>
      <c r="F483" s="27">
        <f>IF(E483="","",IFERROR(INDEX(Lists!$H$4:$H$40,MATCH(E483,Lists!$F$4:$F$40,0)),"UNMAPPED"))</f>
        <v/>
      </c>
      <c r="G483" s="25" t="n"/>
      <c r="H483" s="25" t="n"/>
      <c r="I483" s="25" t="n"/>
      <c r="J483" s="25" t="n"/>
      <c r="K483" s="25" t="n"/>
      <c r="L483" s="29" t="n"/>
      <c r="M483" s="25" t="n"/>
      <c r="N483" s="30" t="n"/>
      <c r="O483" s="31">
        <f>IF(N483="","",IF(G483="Revenue",ROUND(N483*VATRate,2),0))</f>
        <v/>
      </c>
      <c r="P483" s="31">
        <f>IF(N483="","",N483+O483)</f>
        <v/>
      </c>
    </row>
    <row r="484">
      <c r="A484" s="26" t="n"/>
      <c r="B484" s="27">
        <f>IF(A484="","",IF(OR(A484&lt;MIN(Lists!$C$4:$C$15),A484&gt;MAX(Lists!$D$4:$D$15)),"No period",INDEX(Lists!$B$4:$B$15,MATCH(A484,Lists!$C$4:$C$15,1))))</f>
        <v/>
      </c>
      <c r="C484" s="28">
        <f>IF(B484="","",IFERROR(INDEX(Lists!$A$4:$A$15,MATCH(B484,Lists!$B$4:$B$15,0)),0))</f>
        <v/>
      </c>
      <c r="D484" s="25" t="n"/>
      <c r="E484" s="24" t="n"/>
      <c r="F484" s="27">
        <f>IF(E484="","",IFERROR(INDEX(Lists!$H$4:$H$40,MATCH(E484,Lists!$F$4:$F$40,0)),"UNMAPPED"))</f>
        <v/>
      </c>
      <c r="G484" s="25" t="n"/>
      <c r="H484" s="25" t="n"/>
      <c r="I484" s="25" t="n"/>
      <c r="J484" s="25" t="n"/>
      <c r="K484" s="25" t="n"/>
      <c r="L484" s="29" t="n"/>
      <c r="M484" s="25" t="n"/>
      <c r="N484" s="30" t="n"/>
      <c r="O484" s="31">
        <f>IF(N484="","",IF(G484="Revenue",ROUND(N484*VATRate,2),0))</f>
        <v/>
      </c>
      <c r="P484" s="31">
        <f>IF(N484="","",N484+O484)</f>
        <v/>
      </c>
    </row>
    <row r="485">
      <c r="A485" s="26" t="n"/>
      <c r="B485" s="27">
        <f>IF(A485="","",IF(OR(A485&lt;MIN(Lists!$C$4:$C$15),A485&gt;MAX(Lists!$D$4:$D$15)),"No period",INDEX(Lists!$B$4:$B$15,MATCH(A485,Lists!$C$4:$C$15,1))))</f>
        <v/>
      </c>
      <c r="C485" s="28">
        <f>IF(B485="","",IFERROR(INDEX(Lists!$A$4:$A$15,MATCH(B485,Lists!$B$4:$B$15,0)),0))</f>
        <v/>
      </c>
      <c r="D485" s="25" t="n"/>
      <c r="E485" s="24" t="n"/>
      <c r="F485" s="27">
        <f>IF(E485="","",IFERROR(INDEX(Lists!$H$4:$H$40,MATCH(E485,Lists!$F$4:$F$40,0)),"UNMAPPED"))</f>
        <v/>
      </c>
      <c r="G485" s="25" t="n"/>
      <c r="H485" s="25" t="n"/>
      <c r="I485" s="25" t="n"/>
      <c r="J485" s="25" t="n"/>
      <c r="K485" s="25" t="n"/>
      <c r="L485" s="29" t="n"/>
      <c r="M485" s="25" t="n"/>
      <c r="N485" s="30" t="n"/>
      <c r="O485" s="31">
        <f>IF(N485="","",IF(G485="Revenue",ROUND(N485*VATRate,2),0))</f>
        <v/>
      </c>
      <c r="P485" s="31">
        <f>IF(N485="","",N485+O485)</f>
        <v/>
      </c>
    </row>
    <row r="486">
      <c r="A486" s="26" t="n"/>
      <c r="B486" s="27">
        <f>IF(A486="","",IF(OR(A486&lt;MIN(Lists!$C$4:$C$15),A486&gt;MAX(Lists!$D$4:$D$15)),"No period",INDEX(Lists!$B$4:$B$15,MATCH(A486,Lists!$C$4:$C$15,1))))</f>
        <v/>
      </c>
      <c r="C486" s="28">
        <f>IF(B486="","",IFERROR(INDEX(Lists!$A$4:$A$15,MATCH(B486,Lists!$B$4:$B$15,0)),0))</f>
        <v/>
      </c>
      <c r="D486" s="25" t="n"/>
      <c r="E486" s="24" t="n"/>
      <c r="F486" s="27">
        <f>IF(E486="","",IFERROR(INDEX(Lists!$H$4:$H$40,MATCH(E486,Lists!$F$4:$F$40,0)),"UNMAPPED"))</f>
        <v/>
      </c>
      <c r="G486" s="25" t="n"/>
      <c r="H486" s="25" t="n"/>
      <c r="I486" s="25" t="n"/>
      <c r="J486" s="25" t="n"/>
      <c r="K486" s="25" t="n"/>
      <c r="L486" s="29" t="n"/>
      <c r="M486" s="25" t="n"/>
      <c r="N486" s="30" t="n"/>
      <c r="O486" s="31">
        <f>IF(N486="","",IF(G486="Revenue",ROUND(N486*VATRate,2),0))</f>
        <v/>
      </c>
      <c r="P486" s="31">
        <f>IF(N486="","",N486+O486)</f>
        <v/>
      </c>
    </row>
    <row r="487">
      <c r="A487" s="26" t="n"/>
      <c r="B487" s="27">
        <f>IF(A487="","",IF(OR(A487&lt;MIN(Lists!$C$4:$C$15),A487&gt;MAX(Lists!$D$4:$D$15)),"No period",INDEX(Lists!$B$4:$B$15,MATCH(A487,Lists!$C$4:$C$15,1))))</f>
        <v/>
      </c>
      <c r="C487" s="28">
        <f>IF(B487="","",IFERROR(INDEX(Lists!$A$4:$A$15,MATCH(B487,Lists!$B$4:$B$15,0)),0))</f>
        <v/>
      </c>
      <c r="D487" s="25" t="n"/>
      <c r="E487" s="24" t="n"/>
      <c r="F487" s="27">
        <f>IF(E487="","",IFERROR(INDEX(Lists!$H$4:$H$40,MATCH(E487,Lists!$F$4:$F$40,0)),"UNMAPPED"))</f>
        <v/>
      </c>
      <c r="G487" s="25" t="n"/>
      <c r="H487" s="25" t="n"/>
      <c r="I487" s="25" t="n"/>
      <c r="J487" s="25" t="n"/>
      <c r="K487" s="25" t="n"/>
      <c r="L487" s="29" t="n"/>
      <c r="M487" s="25" t="n"/>
      <c r="N487" s="30" t="n"/>
      <c r="O487" s="31">
        <f>IF(N487="","",IF(G487="Revenue",ROUND(N487*VATRate,2),0))</f>
        <v/>
      </c>
      <c r="P487" s="31">
        <f>IF(N487="","",N487+O487)</f>
        <v/>
      </c>
    </row>
    <row r="488">
      <c r="A488" s="26" t="n"/>
      <c r="B488" s="27">
        <f>IF(A488="","",IF(OR(A488&lt;MIN(Lists!$C$4:$C$15),A488&gt;MAX(Lists!$D$4:$D$15)),"No period",INDEX(Lists!$B$4:$B$15,MATCH(A488,Lists!$C$4:$C$15,1))))</f>
        <v/>
      </c>
      <c r="C488" s="28">
        <f>IF(B488="","",IFERROR(INDEX(Lists!$A$4:$A$15,MATCH(B488,Lists!$B$4:$B$15,0)),0))</f>
        <v/>
      </c>
      <c r="D488" s="25" t="n"/>
      <c r="E488" s="24" t="n"/>
      <c r="F488" s="27">
        <f>IF(E488="","",IFERROR(INDEX(Lists!$H$4:$H$40,MATCH(E488,Lists!$F$4:$F$40,0)),"UNMAPPED"))</f>
        <v/>
      </c>
      <c r="G488" s="25" t="n"/>
      <c r="H488" s="25" t="n"/>
      <c r="I488" s="25" t="n"/>
      <c r="J488" s="25" t="n"/>
      <c r="K488" s="25" t="n"/>
      <c r="L488" s="29" t="n"/>
      <c r="M488" s="25" t="n"/>
      <c r="N488" s="30" t="n"/>
      <c r="O488" s="31">
        <f>IF(N488="","",IF(G488="Revenue",ROUND(N488*VATRate,2),0))</f>
        <v/>
      </c>
      <c r="P488" s="31">
        <f>IF(N488="","",N488+O488)</f>
        <v/>
      </c>
    </row>
    <row r="489">
      <c r="A489" s="26" t="n"/>
      <c r="B489" s="27">
        <f>IF(A489="","",IF(OR(A489&lt;MIN(Lists!$C$4:$C$15),A489&gt;MAX(Lists!$D$4:$D$15)),"No period",INDEX(Lists!$B$4:$B$15,MATCH(A489,Lists!$C$4:$C$15,1))))</f>
        <v/>
      </c>
      <c r="C489" s="28">
        <f>IF(B489="","",IFERROR(INDEX(Lists!$A$4:$A$15,MATCH(B489,Lists!$B$4:$B$15,0)),0))</f>
        <v/>
      </c>
      <c r="D489" s="25" t="n"/>
      <c r="E489" s="24" t="n"/>
      <c r="F489" s="27">
        <f>IF(E489="","",IFERROR(INDEX(Lists!$H$4:$H$40,MATCH(E489,Lists!$F$4:$F$40,0)),"UNMAPPED"))</f>
        <v/>
      </c>
      <c r="G489" s="25" t="n"/>
      <c r="H489" s="25" t="n"/>
      <c r="I489" s="25" t="n"/>
      <c r="J489" s="25" t="n"/>
      <c r="K489" s="25" t="n"/>
      <c r="L489" s="29" t="n"/>
      <c r="M489" s="25" t="n"/>
      <c r="N489" s="30" t="n"/>
      <c r="O489" s="31">
        <f>IF(N489="","",IF(G489="Revenue",ROUND(N489*VATRate,2),0))</f>
        <v/>
      </c>
      <c r="P489" s="31">
        <f>IF(N489="","",N489+O489)</f>
        <v/>
      </c>
    </row>
    <row r="490">
      <c r="A490" s="26" t="n"/>
      <c r="B490" s="27">
        <f>IF(A490="","",IF(OR(A490&lt;MIN(Lists!$C$4:$C$15),A490&gt;MAX(Lists!$D$4:$D$15)),"No period",INDEX(Lists!$B$4:$B$15,MATCH(A490,Lists!$C$4:$C$15,1))))</f>
        <v/>
      </c>
      <c r="C490" s="28">
        <f>IF(B490="","",IFERROR(INDEX(Lists!$A$4:$A$15,MATCH(B490,Lists!$B$4:$B$15,0)),0))</f>
        <v/>
      </c>
      <c r="D490" s="25" t="n"/>
      <c r="E490" s="24" t="n"/>
      <c r="F490" s="27">
        <f>IF(E490="","",IFERROR(INDEX(Lists!$H$4:$H$40,MATCH(E490,Lists!$F$4:$F$40,0)),"UNMAPPED"))</f>
        <v/>
      </c>
      <c r="G490" s="25" t="n"/>
      <c r="H490" s="25" t="n"/>
      <c r="I490" s="25" t="n"/>
      <c r="J490" s="25" t="n"/>
      <c r="K490" s="25" t="n"/>
      <c r="L490" s="29" t="n"/>
      <c r="M490" s="25" t="n"/>
      <c r="N490" s="30" t="n"/>
      <c r="O490" s="31">
        <f>IF(N490="","",IF(G490="Revenue",ROUND(N490*VATRate,2),0))</f>
        <v/>
      </c>
      <c r="P490" s="31">
        <f>IF(N490="","",N490+O490)</f>
        <v/>
      </c>
    </row>
    <row r="491">
      <c r="A491" s="26" t="n"/>
      <c r="B491" s="27">
        <f>IF(A491="","",IF(OR(A491&lt;MIN(Lists!$C$4:$C$15),A491&gt;MAX(Lists!$D$4:$D$15)),"No period",INDEX(Lists!$B$4:$B$15,MATCH(A491,Lists!$C$4:$C$15,1))))</f>
        <v/>
      </c>
      <c r="C491" s="28">
        <f>IF(B491="","",IFERROR(INDEX(Lists!$A$4:$A$15,MATCH(B491,Lists!$B$4:$B$15,0)),0))</f>
        <v/>
      </c>
      <c r="D491" s="25" t="n"/>
      <c r="E491" s="24" t="n"/>
      <c r="F491" s="27">
        <f>IF(E491="","",IFERROR(INDEX(Lists!$H$4:$H$40,MATCH(E491,Lists!$F$4:$F$40,0)),"UNMAPPED"))</f>
        <v/>
      </c>
      <c r="G491" s="25" t="n"/>
      <c r="H491" s="25" t="n"/>
      <c r="I491" s="25" t="n"/>
      <c r="J491" s="25" t="n"/>
      <c r="K491" s="25" t="n"/>
      <c r="L491" s="29" t="n"/>
      <c r="M491" s="25" t="n"/>
      <c r="N491" s="30" t="n"/>
      <c r="O491" s="31">
        <f>IF(N491="","",IF(G491="Revenue",ROUND(N491*VATRate,2),0))</f>
        <v/>
      </c>
      <c r="P491" s="31">
        <f>IF(N491="","",N491+O491)</f>
        <v/>
      </c>
    </row>
    <row r="492">
      <c r="A492" s="26" t="n"/>
      <c r="B492" s="27">
        <f>IF(A492="","",IF(OR(A492&lt;MIN(Lists!$C$4:$C$15),A492&gt;MAX(Lists!$D$4:$D$15)),"No period",INDEX(Lists!$B$4:$B$15,MATCH(A492,Lists!$C$4:$C$15,1))))</f>
        <v/>
      </c>
      <c r="C492" s="28">
        <f>IF(B492="","",IFERROR(INDEX(Lists!$A$4:$A$15,MATCH(B492,Lists!$B$4:$B$15,0)),0))</f>
        <v/>
      </c>
      <c r="D492" s="25" t="n"/>
      <c r="E492" s="24" t="n"/>
      <c r="F492" s="27">
        <f>IF(E492="","",IFERROR(INDEX(Lists!$H$4:$H$40,MATCH(E492,Lists!$F$4:$F$40,0)),"UNMAPPED"))</f>
        <v/>
      </c>
      <c r="G492" s="25" t="n"/>
      <c r="H492" s="25" t="n"/>
      <c r="I492" s="25" t="n"/>
      <c r="J492" s="25" t="n"/>
      <c r="K492" s="25" t="n"/>
      <c r="L492" s="29" t="n"/>
      <c r="M492" s="25" t="n"/>
      <c r="N492" s="30" t="n"/>
      <c r="O492" s="31">
        <f>IF(N492="","",IF(G492="Revenue",ROUND(N492*VATRate,2),0))</f>
        <v/>
      </c>
      <c r="P492" s="31">
        <f>IF(N492="","",N492+O492)</f>
        <v/>
      </c>
    </row>
    <row r="493">
      <c r="A493" s="26" t="n"/>
      <c r="B493" s="27">
        <f>IF(A493="","",IF(OR(A493&lt;MIN(Lists!$C$4:$C$15),A493&gt;MAX(Lists!$D$4:$D$15)),"No period",INDEX(Lists!$B$4:$B$15,MATCH(A493,Lists!$C$4:$C$15,1))))</f>
        <v/>
      </c>
      <c r="C493" s="28">
        <f>IF(B493="","",IFERROR(INDEX(Lists!$A$4:$A$15,MATCH(B493,Lists!$B$4:$B$15,0)),0))</f>
        <v/>
      </c>
      <c r="D493" s="25" t="n"/>
      <c r="E493" s="24" t="n"/>
      <c r="F493" s="27">
        <f>IF(E493="","",IFERROR(INDEX(Lists!$H$4:$H$40,MATCH(E493,Lists!$F$4:$F$40,0)),"UNMAPPED"))</f>
        <v/>
      </c>
      <c r="G493" s="25" t="n"/>
      <c r="H493" s="25" t="n"/>
      <c r="I493" s="25" t="n"/>
      <c r="J493" s="25" t="n"/>
      <c r="K493" s="25" t="n"/>
      <c r="L493" s="29" t="n"/>
      <c r="M493" s="25" t="n"/>
      <c r="N493" s="30" t="n"/>
      <c r="O493" s="31">
        <f>IF(N493="","",IF(G493="Revenue",ROUND(N493*VATRate,2),0))</f>
        <v/>
      </c>
      <c r="P493" s="31">
        <f>IF(N493="","",N493+O493)</f>
        <v/>
      </c>
    </row>
    <row r="494">
      <c r="A494" s="26" t="n"/>
      <c r="B494" s="27">
        <f>IF(A494="","",IF(OR(A494&lt;MIN(Lists!$C$4:$C$15),A494&gt;MAX(Lists!$D$4:$D$15)),"No period",INDEX(Lists!$B$4:$B$15,MATCH(A494,Lists!$C$4:$C$15,1))))</f>
        <v/>
      </c>
      <c r="C494" s="28">
        <f>IF(B494="","",IFERROR(INDEX(Lists!$A$4:$A$15,MATCH(B494,Lists!$B$4:$B$15,0)),0))</f>
        <v/>
      </c>
      <c r="D494" s="25" t="n"/>
      <c r="E494" s="24" t="n"/>
      <c r="F494" s="27">
        <f>IF(E494="","",IFERROR(INDEX(Lists!$H$4:$H$40,MATCH(E494,Lists!$F$4:$F$40,0)),"UNMAPPED"))</f>
        <v/>
      </c>
      <c r="G494" s="25" t="n"/>
      <c r="H494" s="25" t="n"/>
      <c r="I494" s="25" t="n"/>
      <c r="J494" s="25" t="n"/>
      <c r="K494" s="25" t="n"/>
      <c r="L494" s="29" t="n"/>
      <c r="M494" s="25" t="n"/>
      <c r="N494" s="30" t="n"/>
      <c r="O494" s="31">
        <f>IF(N494="","",IF(G494="Revenue",ROUND(N494*VATRate,2),0))</f>
        <v/>
      </c>
      <c r="P494" s="31">
        <f>IF(N494="","",N494+O494)</f>
        <v/>
      </c>
    </row>
    <row r="495">
      <c r="A495" s="26" t="n"/>
      <c r="B495" s="27">
        <f>IF(A495="","",IF(OR(A495&lt;MIN(Lists!$C$4:$C$15),A495&gt;MAX(Lists!$D$4:$D$15)),"No period",INDEX(Lists!$B$4:$B$15,MATCH(A495,Lists!$C$4:$C$15,1))))</f>
        <v/>
      </c>
      <c r="C495" s="28">
        <f>IF(B495="","",IFERROR(INDEX(Lists!$A$4:$A$15,MATCH(B495,Lists!$B$4:$B$15,0)),0))</f>
        <v/>
      </c>
      <c r="D495" s="25" t="n"/>
      <c r="E495" s="24" t="n"/>
      <c r="F495" s="27">
        <f>IF(E495="","",IFERROR(INDEX(Lists!$H$4:$H$40,MATCH(E495,Lists!$F$4:$F$40,0)),"UNMAPPED"))</f>
        <v/>
      </c>
      <c r="G495" s="25" t="n"/>
      <c r="H495" s="25" t="n"/>
      <c r="I495" s="25" t="n"/>
      <c r="J495" s="25" t="n"/>
      <c r="K495" s="25" t="n"/>
      <c r="L495" s="29" t="n"/>
      <c r="M495" s="25" t="n"/>
      <c r="N495" s="30" t="n"/>
      <c r="O495" s="31">
        <f>IF(N495="","",IF(G495="Revenue",ROUND(N495*VATRate,2),0))</f>
        <v/>
      </c>
      <c r="P495" s="31">
        <f>IF(N495="","",N495+O495)</f>
        <v/>
      </c>
    </row>
    <row r="496">
      <c r="A496" s="26" t="n"/>
      <c r="B496" s="27">
        <f>IF(A496="","",IF(OR(A496&lt;MIN(Lists!$C$4:$C$15),A496&gt;MAX(Lists!$D$4:$D$15)),"No period",INDEX(Lists!$B$4:$B$15,MATCH(A496,Lists!$C$4:$C$15,1))))</f>
        <v/>
      </c>
      <c r="C496" s="28">
        <f>IF(B496="","",IFERROR(INDEX(Lists!$A$4:$A$15,MATCH(B496,Lists!$B$4:$B$15,0)),0))</f>
        <v/>
      </c>
      <c r="D496" s="25" t="n"/>
      <c r="E496" s="24" t="n"/>
      <c r="F496" s="27">
        <f>IF(E496="","",IFERROR(INDEX(Lists!$H$4:$H$40,MATCH(E496,Lists!$F$4:$F$40,0)),"UNMAPPED"))</f>
        <v/>
      </c>
      <c r="G496" s="25" t="n"/>
      <c r="H496" s="25" t="n"/>
      <c r="I496" s="25" t="n"/>
      <c r="J496" s="25" t="n"/>
      <c r="K496" s="25" t="n"/>
      <c r="L496" s="29" t="n"/>
      <c r="M496" s="25" t="n"/>
      <c r="N496" s="30" t="n"/>
      <c r="O496" s="31">
        <f>IF(N496="","",IF(G496="Revenue",ROUND(N496*VATRate,2),0))</f>
        <v/>
      </c>
      <c r="P496" s="31">
        <f>IF(N496="","",N496+O496)</f>
        <v/>
      </c>
    </row>
    <row r="497">
      <c r="A497" s="26" t="n"/>
      <c r="B497" s="27">
        <f>IF(A497="","",IF(OR(A497&lt;MIN(Lists!$C$4:$C$15),A497&gt;MAX(Lists!$D$4:$D$15)),"No period",INDEX(Lists!$B$4:$B$15,MATCH(A497,Lists!$C$4:$C$15,1))))</f>
        <v/>
      </c>
      <c r="C497" s="28">
        <f>IF(B497="","",IFERROR(INDEX(Lists!$A$4:$A$15,MATCH(B497,Lists!$B$4:$B$15,0)),0))</f>
        <v/>
      </c>
      <c r="D497" s="25" t="n"/>
      <c r="E497" s="24" t="n"/>
      <c r="F497" s="27">
        <f>IF(E497="","",IFERROR(INDEX(Lists!$H$4:$H$40,MATCH(E497,Lists!$F$4:$F$40,0)),"UNMAPPED"))</f>
        <v/>
      </c>
      <c r="G497" s="25" t="n"/>
      <c r="H497" s="25" t="n"/>
      <c r="I497" s="25" t="n"/>
      <c r="J497" s="25" t="n"/>
      <c r="K497" s="25" t="n"/>
      <c r="L497" s="29" t="n"/>
      <c r="M497" s="25" t="n"/>
      <c r="N497" s="30" t="n"/>
      <c r="O497" s="31">
        <f>IF(N497="","",IF(G497="Revenue",ROUND(N497*VATRate,2),0))</f>
        <v/>
      </c>
      <c r="P497" s="31">
        <f>IF(N497="","",N497+O497)</f>
        <v/>
      </c>
    </row>
    <row r="498">
      <c r="A498" s="26" t="n"/>
      <c r="B498" s="27">
        <f>IF(A498="","",IF(OR(A498&lt;MIN(Lists!$C$4:$C$15),A498&gt;MAX(Lists!$D$4:$D$15)),"No period",INDEX(Lists!$B$4:$B$15,MATCH(A498,Lists!$C$4:$C$15,1))))</f>
        <v/>
      </c>
      <c r="C498" s="28">
        <f>IF(B498="","",IFERROR(INDEX(Lists!$A$4:$A$15,MATCH(B498,Lists!$B$4:$B$15,0)),0))</f>
        <v/>
      </c>
      <c r="D498" s="25" t="n"/>
      <c r="E498" s="24" t="n"/>
      <c r="F498" s="27">
        <f>IF(E498="","",IFERROR(INDEX(Lists!$H$4:$H$40,MATCH(E498,Lists!$F$4:$F$40,0)),"UNMAPPED"))</f>
        <v/>
      </c>
      <c r="G498" s="25" t="n"/>
      <c r="H498" s="25" t="n"/>
      <c r="I498" s="25" t="n"/>
      <c r="J498" s="25" t="n"/>
      <c r="K498" s="25" t="n"/>
      <c r="L498" s="29" t="n"/>
      <c r="M498" s="25" t="n"/>
      <c r="N498" s="30" t="n"/>
      <c r="O498" s="31">
        <f>IF(N498="","",IF(G498="Revenue",ROUND(N498*VATRate,2),0))</f>
        <v/>
      </c>
      <c r="P498" s="31">
        <f>IF(N498="","",N498+O498)</f>
        <v/>
      </c>
    </row>
    <row r="499">
      <c r="A499" s="26" t="n"/>
      <c r="B499" s="27">
        <f>IF(A499="","",IF(OR(A499&lt;MIN(Lists!$C$4:$C$15),A499&gt;MAX(Lists!$D$4:$D$15)),"No period",INDEX(Lists!$B$4:$B$15,MATCH(A499,Lists!$C$4:$C$15,1))))</f>
        <v/>
      </c>
      <c r="C499" s="28">
        <f>IF(B499="","",IFERROR(INDEX(Lists!$A$4:$A$15,MATCH(B499,Lists!$B$4:$B$15,0)),0))</f>
        <v/>
      </c>
      <c r="D499" s="25" t="n"/>
      <c r="E499" s="24" t="n"/>
      <c r="F499" s="27">
        <f>IF(E499="","",IFERROR(INDEX(Lists!$H$4:$H$40,MATCH(E499,Lists!$F$4:$F$40,0)),"UNMAPPED"))</f>
        <v/>
      </c>
      <c r="G499" s="25" t="n"/>
      <c r="H499" s="25" t="n"/>
      <c r="I499" s="25" t="n"/>
      <c r="J499" s="25" t="n"/>
      <c r="K499" s="25" t="n"/>
      <c r="L499" s="29" t="n"/>
      <c r="M499" s="25" t="n"/>
      <c r="N499" s="30" t="n"/>
      <c r="O499" s="31">
        <f>IF(N499="","",IF(G499="Revenue",ROUND(N499*VATRate,2),0))</f>
        <v/>
      </c>
      <c r="P499" s="31">
        <f>IF(N499="","",N499+O499)</f>
        <v/>
      </c>
    </row>
    <row r="500">
      <c r="A500" s="26" t="n"/>
      <c r="B500" s="27">
        <f>IF(A500="","",IF(OR(A500&lt;MIN(Lists!$C$4:$C$15),A500&gt;MAX(Lists!$D$4:$D$15)),"No period",INDEX(Lists!$B$4:$B$15,MATCH(A500,Lists!$C$4:$C$15,1))))</f>
        <v/>
      </c>
      <c r="C500" s="28">
        <f>IF(B500="","",IFERROR(INDEX(Lists!$A$4:$A$15,MATCH(B500,Lists!$B$4:$B$15,0)),0))</f>
        <v/>
      </c>
      <c r="D500" s="25" t="n"/>
      <c r="E500" s="24" t="n"/>
      <c r="F500" s="27">
        <f>IF(E500="","",IFERROR(INDEX(Lists!$H$4:$H$40,MATCH(E500,Lists!$F$4:$F$40,0)),"UNMAPPED"))</f>
        <v/>
      </c>
      <c r="G500" s="25" t="n"/>
      <c r="H500" s="25" t="n"/>
      <c r="I500" s="25" t="n"/>
      <c r="J500" s="25" t="n"/>
      <c r="K500" s="25" t="n"/>
      <c r="L500" s="29" t="n"/>
      <c r="M500" s="25" t="n"/>
      <c r="N500" s="30" t="n"/>
      <c r="O500" s="31">
        <f>IF(N500="","",IF(G500="Revenue",ROUND(N500*VATRate,2),0))</f>
        <v/>
      </c>
      <c r="P500" s="31">
        <f>IF(N500="","",N500+O500)</f>
        <v/>
      </c>
    </row>
    <row r="501">
      <c r="A501" s="26" t="n"/>
      <c r="B501" s="27">
        <f>IF(A501="","",IF(OR(A501&lt;MIN(Lists!$C$4:$C$15),A501&gt;MAX(Lists!$D$4:$D$15)),"No period",INDEX(Lists!$B$4:$B$15,MATCH(A501,Lists!$C$4:$C$15,1))))</f>
        <v/>
      </c>
      <c r="C501" s="28">
        <f>IF(B501="","",IFERROR(INDEX(Lists!$A$4:$A$15,MATCH(B501,Lists!$B$4:$B$15,0)),0))</f>
        <v/>
      </c>
      <c r="D501" s="25" t="n"/>
      <c r="E501" s="24" t="n"/>
      <c r="F501" s="27">
        <f>IF(E501="","",IFERROR(INDEX(Lists!$H$4:$H$40,MATCH(E501,Lists!$F$4:$F$40,0)),"UNMAPPED"))</f>
        <v/>
      </c>
      <c r="G501" s="25" t="n"/>
      <c r="H501" s="25" t="n"/>
      <c r="I501" s="25" t="n"/>
      <c r="J501" s="25" t="n"/>
      <c r="K501" s="25" t="n"/>
      <c r="L501" s="29" t="n"/>
      <c r="M501" s="25" t="n"/>
      <c r="N501" s="30" t="n"/>
      <c r="O501" s="31">
        <f>IF(N501="","",IF(G501="Revenue",ROUND(N501*VATRate,2),0))</f>
        <v/>
      </c>
      <c r="P501" s="31">
        <f>IF(N501="","",N501+O501)</f>
        <v/>
      </c>
    </row>
    <row r="502">
      <c r="A502" s="26" t="n"/>
      <c r="B502" s="27">
        <f>IF(A502="","",IF(OR(A502&lt;MIN(Lists!$C$4:$C$15),A502&gt;MAX(Lists!$D$4:$D$15)),"No period",INDEX(Lists!$B$4:$B$15,MATCH(A502,Lists!$C$4:$C$15,1))))</f>
        <v/>
      </c>
      <c r="C502" s="28">
        <f>IF(B502="","",IFERROR(INDEX(Lists!$A$4:$A$15,MATCH(B502,Lists!$B$4:$B$15,0)),0))</f>
        <v/>
      </c>
      <c r="D502" s="25" t="n"/>
      <c r="E502" s="24" t="n"/>
      <c r="F502" s="27">
        <f>IF(E502="","",IFERROR(INDEX(Lists!$H$4:$H$40,MATCH(E502,Lists!$F$4:$F$40,0)),"UNMAPPED"))</f>
        <v/>
      </c>
      <c r="G502" s="25" t="n"/>
      <c r="H502" s="25" t="n"/>
      <c r="I502" s="25" t="n"/>
      <c r="J502" s="25" t="n"/>
      <c r="K502" s="25" t="n"/>
      <c r="L502" s="29" t="n"/>
      <c r="M502" s="25" t="n"/>
      <c r="N502" s="30" t="n"/>
      <c r="O502" s="31">
        <f>IF(N502="","",IF(G502="Revenue",ROUND(N502*VATRate,2),0))</f>
        <v/>
      </c>
      <c r="P502" s="31">
        <f>IF(N502="","",N502+O502)</f>
        <v/>
      </c>
    </row>
    <row r="503">
      <c r="A503" s="26" t="n"/>
      <c r="B503" s="27">
        <f>IF(A503="","",IF(OR(A503&lt;MIN(Lists!$C$4:$C$15),A503&gt;MAX(Lists!$D$4:$D$15)),"No period",INDEX(Lists!$B$4:$B$15,MATCH(A503,Lists!$C$4:$C$15,1))))</f>
        <v/>
      </c>
      <c r="C503" s="28">
        <f>IF(B503="","",IFERROR(INDEX(Lists!$A$4:$A$15,MATCH(B503,Lists!$B$4:$B$15,0)),0))</f>
        <v/>
      </c>
      <c r="D503" s="25" t="n"/>
      <c r="E503" s="24" t="n"/>
      <c r="F503" s="27">
        <f>IF(E503="","",IFERROR(INDEX(Lists!$H$4:$H$40,MATCH(E503,Lists!$F$4:$F$40,0)),"UNMAPPED"))</f>
        <v/>
      </c>
      <c r="G503" s="25" t="n"/>
      <c r="H503" s="25" t="n"/>
      <c r="I503" s="25" t="n"/>
      <c r="J503" s="25" t="n"/>
      <c r="K503" s="25" t="n"/>
      <c r="L503" s="29" t="n"/>
      <c r="M503" s="25" t="n"/>
      <c r="N503" s="30" t="n"/>
      <c r="O503" s="31">
        <f>IF(N503="","",IF(G503="Revenue",ROUND(N503*VATRate,2),0))</f>
        <v/>
      </c>
      <c r="P503" s="31">
        <f>IF(N503="","",N503+O503)</f>
        <v/>
      </c>
    </row>
    <row r="504">
      <c r="A504" s="26" t="n"/>
      <c r="B504" s="27">
        <f>IF(A504="","",IF(OR(A504&lt;MIN(Lists!$C$4:$C$15),A504&gt;MAX(Lists!$D$4:$D$15)),"No period",INDEX(Lists!$B$4:$B$15,MATCH(A504,Lists!$C$4:$C$15,1))))</f>
        <v/>
      </c>
      <c r="C504" s="28">
        <f>IF(B504="","",IFERROR(INDEX(Lists!$A$4:$A$15,MATCH(B504,Lists!$B$4:$B$15,0)),0))</f>
        <v/>
      </c>
      <c r="D504" s="25" t="n"/>
      <c r="E504" s="24" t="n"/>
      <c r="F504" s="27">
        <f>IF(E504="","",IFERROR(INDEX(Lists!$H$4:$H$40,MATCH(E504,Lists!$F$4:$F$40,0)),"UNMAPPED"))</f>
        <v/>
      </c>
      <c r="G504" s="25" t="n"/>
      <c r="H504" s="25" t="n"/>
      <c r="I504" s="25" t="n"/>
      <c r="J504" s="25" t="n"/>
      <c r="K504" s="25" t="n"/>
      <c r="L504" s="29" t="n"/>
      <c r="M504" s="25" t="n"/>
      <c r="N504" s="30" t="n"/>
      <c r="O504" s="31">
        <f>IF(N504="","",IF(G504="Revenue",ROUND(N504*VATRate,2),0))</f>
        <v/>
      </c>
      <c r="P504" s="31">
        <f>IF(N504="","",N504+O504)</f>
        <v/>
      </c>
    </row>
    <row r="505">
      <c r="A505" s="26" t="n"/>
      <c r="B505" s="27">
        <f>IF(A505="","",IF(OR(A505&lt;MIN(Lists!$C$4:$C$15),A505&gt;MAX(Lists!$D$4:$D$15)),"No period",INDEX(Lists!$B$4:$B$15,MATCH(A505,Lists!$C$4:$C$15,1))))</f>
        <v/>
      </c>
      <c r="C505" s="28">
        <f>IF(B505="","",IFERROR(INDEX(Lists!$A$4:$A$15,MATCH(B505,Lists!$B$4:$B$15,0)),0))</f>
        <v/>
      </c>
      <c r="D505" s="25" t="n"/>
      <c r="E505" s="24" t="n"/>
      <c r="F505" s="27">
        <f>IF(E505="","",IFERROR(INDEX(Lists!$H$4:$H$40,MATCH(E505,Lists!$F$4:$F$40,0)),"UNMAPPED"))</f>
        <v/>
      </c>
      <c r="G505" s="25" t="n"/>
      <c r="H505" s="25" t="n"/>
      <c r="I505" s="25" t="n"/>
      <c r="J505" s="25" t="n"/>
      <c r="K505" s="25" t="n"/>
      <c r="L505" s="29" t="n"/>
      <c r="M505" s="25" t="n"/>
      <c r="N505" s="30" t="n"/>
      <c r="O505" s="31">
        <f>IF(N505="","",IF(G505="Revenue",ROUND(N505*VATRate,2),0))</f>
        <v/>
      </c>
      <c r="P505" s="31">
        <f>IF(N505="","",N505+O505)</f>
        <v/>
      </c>
    </row>
    <row r="506">
      <c r="A506" s="26" t="n"/>
      <c r="B506" s="27">
        <f>IF(A506="","",IF(OR(A506&lt;MIN(Lists!$C$4:$C$15),A506&gt;MAX(Lists!$D$4:$D$15)),"No period",INDEX(Lists!$B$4:$B$15,MATCH(A506,Lists!$C$4:$C$15,1))))</f>
        <v/>
      </c>
      <c r="C506" s="28">
        <f>IF(B506="","",IFERROR(INDEX(Lists!$A$4:$A$15,MATCH(B506,Lists!$B$4:$B$15,0)),0))</f>
        <v/>
      </c>
      <c r="D506" s="25" t="n"/>
      <c r="E506" s="24" t="n"/>
      <c r="F506" s="27">
        <f>IF(E506="","",IFERROR(INDEX(Lists!$H$4:$H$40,MATCH(E506,Lists!$F$4:$F$40,0)),"UNMAPPED"))</f>
        <v/>
      </c>
      <c r="G506" s="25" t="n"/>
      <c r="H506" s="25" t="n"/>
      <c r="I506" s="25" t="n"/>
      <c r="J506" s="25" t="n"/>
      <c r="K506" s="25" t="n"/>
      <c r="L506" s="29" t="n"/>
      <c r="M506" s="25" t="n"/>
      <c r="N506" s="30" t="n"/>
      <c r="O506" s="31">
        <f>IF(N506="","",IF(G506="Revenue",ROUND(N506*VATRate,2),0))</f>
        <v/>
      </c>
      <c r="P506" s="31">
        <f>IF(N506="","",N506+O506)</f>
        <v/>
      </c>
    </row>
    <row r="507">
      <c r="A507" s="26" t="n"/>
      <c r="B507" s="27">
        <f>IF(A507="","",IF(OR(A507&lt;MIN(Lists!$C$4:$C$15),A507&gt;MAX(Lists!$D$4:$D$15)),"No period",INDEX(Lists!$B$4:$B$15,MATCH(A507,Lists!$C$4:$C$15,1))))</f>
        <v/>
      </c>
      <c r="C507" s="28">
        <f>IF(B507="","",IFERROR(INDEX(Lists!$A$4:$A$15,MATCH(B507,Lists!$B$4:$B$15,0)),0))</f>
        <v/>
      </c>
      <c r="D507" s="25" t="n"/>
      <c r="E507" s="24" t="n"/>
      <c r="F507" s="27">
        <f>IF(E507="","",IFERROR(INDEX(Lists!$H$4:$H$40,MATCH(E507,Lists!$F$4:$F$40,0)),"UNMAPPED"))</f>
        <v/>
      </c>
      <c r="G507" s="25" t="n"/>
      <c r="H507" s="25" t="n"/>
      <c r="I507" s="25" t="n"/>
      <c r="J507" s="25" t="n"/>
      <c r="K507" s="25" t="n"/>
      <c r="L507" s="29" t="n"/>
      <c r="M507" s="25" t="n"/>
      <c r="N507" s="30" t="n"/>
      <c r="O507" s="31">
        <f>IF(N507="","",IF(G507="Revenue",ROUND(N507*VATRate,2),0))</f>
        <v/>
      </c>
      <c r="P507" s="31">
        <f>IF(N507="","",N507+O507)</f>
        <v/>
      </c>
    </row>
    <row r="508">
      <c r="A508" s="26" t="n"/>
      <c r="B508" s="27">
        <f>IF(A508="","",IF(OR(A508&lt;MIN(Lists!$C$4:$C$15),A508&gt;MAX(Lists!$D$4:$D$15)),"No period",INDEX(Lists!$B$4:$B$15,MATCH(A508,Lists!$C$4:$C$15,1))))</f>
        <v/>
      </c>
      <c r="C508" s="28">
        <f>IF(B508="","",IFERROR(INDEX(Lists!$A$4:$A$15,MATCH(B508,Lists!$B$4:$B$15,0)),0))</f>
        <v/>
      </c>
      <c r="D508" s="25" t="n"/>
      <c r="E508" s="24" t="n"/>
      <c r="F508" s="27">
        <f>IF(E508="","",IFERROR(INDEX(Lists!$H$4:$H$40,MATCH(E508,Lists!$F$4:$F$40,0)),"UNMAPPED"))</f>
        <v/>
      </c>
      <c r="G508" s="25" t="n"/>
      <c r="H508" s="25" t="n"/>
      <c r="I508" s="25" t="n"/>
      <c r="J508" s="25" t="n"/>
      <c r="K508" s="25" t="n"/>
      <c r="L508" s="29" t="n"/>
      <c r="M508" s="25" t="n"/>
      <c r="N508" s="30" t="n"/>
      <c r="O508" s="31">
        <f>IF(N508="","",IF(G508="Revenue",ROUND(N508*VATRate,2),0))</f>
        <v/>
      </c>
      <c r="P508" s="31">
        <f>IF(N508="","",N508+O508)</f>
        <v/>
      </c>
    </row>
    <row r="509">
      <c r="A509" s="26" t="n"/>
      <c r="B509" s="27">
        <f>IF(A509="","",IF(OR(A509&lt;MIN(Lists!$C$4:$C$15),A509&gt;MAX(Lists!$D$4:$D$15)),"No period",INDEX(Lists!$B$4:$B$15,MATCH(A509,Lists!$C$4:$C$15,1))))</f>
        <v/>
      </c>
      <c r="C509" s="28">
        <f>IF(B509="","",IFERROR(INDEX(Lists!$A$4:$A$15,MATCH(B509,Lists!$B$4:$B$15,0)),0))</f>
        <v/>
      </c>
      <c r="D509" s="25" t="n"/>
      <c r="E509" s="24" t="n"/>
      <c r="F509" s="27">
        <f>IF(E509="","",IFERROR(INDEX(Lists!$H$4:$H$40,MATCH(E509,Lists!$F$4:$F$40,0)),"UNMAPPED"))</f>
        <v/>
      </c>
      <c r="G509" s="25" t="n"/>
      <c r="H509" s="25" t="n"/>
      <c r="I509" s="25" t="n"/>
      <c r="J509" s="25" t="n"/>
      <c r="K509" s="25" t="n"/>
      <c r="L509" s="29" t="n"/>
      <c r="M509" s="25" t="n"/>
      <c r="N509" s="30" t="n"/>
      <c r="O509" s="31">
        <f>IF(N509="","",IF(G509="Revenue",ROUND(N509*VATRate,2),0))</f>
        <v/>
      </c>
      <c r="P509" s="31">
        <f>IF(N509="","",N509+O509)</f>
        <v/>
      </c>
    </row>
    <row r="510">
      <c r="A510" s="26" t="n"/>
      <c r="B510" s="27">
        <f>IF(A510="","",IF(OR(A510&lt;MIN(Lists!$C$4:$C$15),A510&gt;MAX(Lists!$D$4:$D$15)),"No period",INDEX(Lists!$B$4:$B$15,MATCH(A510,Lists!$C$4:$C$15,1))))</f>
        <v/>
      </c>
      <c r="C510" s="28">
        <f>IF(B510="","",IFERROR(INDEX(Lists!$A$4:$A$15,MATCH(B510,Lists!$B$4:$B$15,0)),0))</f>
        <v/>
      </c>
      <c r="D510" s="25" t="n"/>
      <c r="E510" s="24" t="n"/>
      <c r="F510" s="27">
        <f>IF(E510="","",IFERROR(INDEX(Lists!$H$4:$H$40,MATCH(E510,Lists!$F$4:$F$40,0)),"UNMAPPED"))</f>
        <v/>
      </c>
      <c r="G510" s="25" t="n"/>
      <c r="H510" s="25" t="n"/>
      <c r="I510" s="25" t="n"/>
      <c r="J510" s="25" t="n"/>
      <c r="K510" s="25" t="n"/>
      <c r="L510" s="29" t="n"/>
      <c r="M510" s="25" t="n"/>
      <c r="N510" s="30" t="n"/>
      <c r="O510" s="31">
        <f>IF(N510="","",IF(G510="Revenue",ROUND(N510*VATRate,2),0))</f>
        <v/>
      </c>
      <c r="P510" s="31">
        <f>IF(N510="","",N510+O510)</f>
        <v/>
      </c>
    </row>
    <row r="511">
      <c r="A511" s="26" t="n"/>
      <c r="B511" s="27">
        <f>IF(A511="","",IF(OR(A511&lt;MIN(Lists!$C$4:$C$15),A511&gt;MAX(Lists!$D$4:$D$15)),"No period",INDEX(Lists!$B$4:$B$15,MATCH(A511,Lists!$C$4:$C$15,1))))</f>
        <v/>
      </c>
      <c r="C511" s="28">
        <f>IF(B511="","",IFERROR(INDEX(Lists!$A$4:$A$15,MATCH(B511,Lists!$B$4:$B$15,0)),0))</f>
        <v/>
      </c>
      <c r="D511" s="25" t="n"/>
      <c r="E511" s="24" t="n"/>
      <c r="F511" s="27">
        <f>IF(E511="","",IFERROR(INDEX(Lists!$H$4:$H$40,MATCH(E511,Lists!$F$4:$F$40,0)),"UNMAPPED"))</f>
        <v/>
      </c>
      <c r="G511" s="25" t="n"/>
      <c r="H511" s="25" t="n"/>
      <c r="I511" s="25" t="n"/>
      <c r="J511" s="25" t="n"/>
      <c r="K511" s="25" t="n"/>
      <c r="L511" s="29" t="n"/>
      <c r="M511" s="25" t="n"/>
      <c r="N511" s="30" t="n"/>
      <c r="O511" s="31">
        <f>IF(N511="","",IF(G511="Revenue",ROUND(N511*VATRate,2),0))</f>
        <v/>
      </c>
      <c r="P511" s="31">
        <f>IF(N511="","",N511+O511)</f>
        <v/>
      </c>
    </row>
    <row r="512">
      <c r="A512" s="26" t="n"/>
      <c r="B512" s="27">
        <f>IF(A512="","",IF(OR(A512&lt;MIN(Lists!$C$4:$C$15),A512&gt;MAX(Lists!$D$4:$D$15)),"No period",INDEX(Lists!$B$4:$B$15,MATCH(A512,Lists!$C$4:$C$15,1))))</f>
        <v/>
      </c>
      <c r="C512" s="28">
        <f>IF(B512="","",IFERROR(INDEX(Lists!$A$4:$A$15,MATCH(B512,Lists!$B$4:$B$15,0)),0))</f>
        <v/>
      </c>
      <c r="D512" s="25" t="n"/>
      <c r="E512" s="24" t="n"/>
      <c r="F512" s="27">
        <f>IF(E512="","",IFERROR(INDEX(Lists!$H$4:$H$40,MATCH(E512,Lists!$F$4:$F$40,0)),"UNMAPPED"))</f>
        <v/>
      </c>
      <c r="G512" s="25" t="n"/>
      <c r="H512" s="25" t="n"/>
      <c r="I512" s="25" t="n"/>
      <c r="J512" s="25" t="n"/>
      <c r="K512" s="25" t="n"/>
      <c r="L512" s="29" t="n"/>
      <c r="M512" s="25" t="n"/>
      <c r="N512" s="30" t="n"/>
      <c r="O512" s="31">
        <f>IF(N512="","",IF(G512="Revenue",ROUND(N512*VATRate,2),0))</f>
        <v/>
      </c>
      <c r="P512" s="31">
        <f>IF(N512="","",N512+O512)</f>
        <v/>
      </c>
    </row>
    <row r="513">
      <c r="A513" s="26" t="n"/>
      <c r="B513" s="27">
        <f>IF(A513="","",IF(OR(A513&lt;MIN(Lists!$C$4:$C$15),A513&gt;MAX(Lists!$D$4:$D$15)),"No period",INDEX(Lists!$B$4:$B$15,MATCH(A513,Lists!$C$4:$C$15,1))))</f>
        <v/>
      </c>
      <c r="C513" s="28">
        <f>IF(B513="","",IFERROR(INDEX(Lists!$A$4:$A$15,MATCH(B513,Lists!$B$4:$B$15,0)),0))</f>
        <v/>
      </c>
      <c r="D513" s="25" t="n"/>
      <c r="E513" s="24" t="n"/>
      <c r="F513" s="27">
        <f>IF(E513="","",IFERROR(INDEX(Lists!$H$4:$H$40,MATCH(E513,Lists!$F$4:$F$40,0)),"UNMAPPED"))</f>
        <v/>
      </c>
      <c r="G513" s="25" t="n"/>
      <c r="H513" s="25" t="n"/>
      <c r="I513" s="25" t="n"/>
      <c r="J513" s="25" t="n"/>
      <c r="K513" s="25" t="n"/>
      <c r="L513" s="29" t="n"/>
      <c r="M513" s="25" t="n"/>
      <c r="N513" s="30" t="n"/>
      <c r="O513" s="31">
        <f>IF(N513="","",IF(G513="Revenue",ROUND(N513*VATRate,2),0))</f>
        <v/>
      </c>
      <c r="P513" s="31">
        <f>IF(N513="","",N513+O513)</f>
        <v/>
      </c>
    </row>
    <row r="514">
      <c r="A514" s="26" t="n"/>
      <c r="B514" s="27">
        <f>IF(A514="","",IF(OR(A514&lt;MIN(Lists!$C$4:$C$15),A514&gt;MAX(Lists!$D$4:$D$15)),"No period",INDEX(Lists!$B$4:$B$15,MATCH(A514,Lists!$C$4:$C$15,1))))</f>
        <v/>
      </c>
      <c r="C514" s="28">
        <f>IF(B514="","",IFERROR(INDEX(Lists!$A$4:$A$15,MATCH(B514,Lists!$B$4:$B$15,0)),0))</f>
        <v/>
      </c>
      <c r="D514" s="25" t="n"/>
      <c r="E514" s="24" t="n"/>
      <c r="F514" s="27">
        <f>IF(E514="","",IFERROR(INDEX(Lists!$H$4:$H$40,MATCH(E514,Lists!$F$4:$F$40,0)),"UNMAPPED"))</f>
        <v/>
      </c>
      <c r="G514" s="25" t="n"/>
      <c r="H514" s="25" t="n"/>
      <c r="I514" s="25" t="n"/>
      <c r="J514" s="25" t="n"/>
      <c r="K514" s="25" t="n"/>
      <c r="L514" s="29" t="n"/>
      <c r="M514" s="25" t="n"/>
      <c r="N514" s="30" t="n"/>
      <c r="O514" s="31">
        <f>IF(N514="","",IF(G514="Revenue",ROUND(N514*VATRate,2),0))</f>
        <v/>
      </c>
      <c r="P514" s="31">
        <f>IF(N514="","",N514+O514)</f>
        <v/>
      </c>
    </row>
    <row r="515">
      <c r="A515" s="26" t="n"/>
      <c r="B515" s="27">
        <f>IF(A515="","",IF(OR(A515&lt;MIN(Lists!$C$4:$C$15),A515&gt;MAX(Lists!$D$4:$D$15)),"No period",INDEX(Lists!$B$4:$B$15,MATCH(A515,Lists!$C$4:$C$15,1))))</f>
        <v/>
      </c>
      <c r="C515" s="28">
        <f>IF(B515="","",IFERROR(INDEX(Lists!$A$4:$A$15,MATCH(B515,Lists!$B$4:$B$15,0)),0))</f>
        <v/>
      </c>
      <c r="D515" s="25" t="n"/>
      <c r="E515" s="24" t="n"/>
      <c r="F515" s="27">
        <f>IF(E515="","",IFERROR(INDEX(Lists!$H$4:$H$40,MATCH(E515,Lists!$F$4:$F$40,0)),"UNMAPPED"))</f>
        <v/>
      </c>
      <c r="G515" s="25" t="n"/>
      <c r="H515" s="25" t="n"/>
      <c r="I515" s="25" t="n"/>
      <c r="J515" s="25" t="n"/>
      <c r="K515" s="25" t="n"/>
      <c r="L515" s="29" t="n"/>
      <c r="M515" s="25" t="n"/>
      <c r="N515" s="30" t="n"/>
      <c r="O515" s="31">
        <f>IF(N515="","",IF(G515="Revenue",ROUND(N515*VATRate,2),0))</f>
        <v/>
      </c>
      <c r="P515" s="31">
        <f>IF(N515="","",N515+O515)</f>
        <v/>
      </c>
    </row>
    <row r="516">
      <c r="A516" s="26" t="n"/>
      <c r="B516" s="27">
        <f>IF(A516="","",IF(OR(A516&lt;MIN(Lists!$C$4:$C$15),A516&gt;MAX(Lists!$D$4:$D$15)),"No period",INDEX(Lists!$B$4:$B$15,MATCH(A516,Lists!$C$4:$C$15,1))))</f>
        <v/>
      </c>
      <c r="C516" s="28">
        <f>IF(B516="","",IFERROR(INDEX(Lists!$A$4:$A$15,MATCH(B516,Lists!$B$4:$B$15,0)),0))</f>
        <v/>
      </c>
      <c r="D516" s="25" t="n"/>
      <c r="E516" s="24" t="n"/>
      <c r="F516" s="27">
        <f>IF(E516="","",IFERROR(INDEX(Lists!$H$4:$H$40,MATCH(E516,Lists!$F$4:$F$40,0)),"UNMAPPED"))</f>
        <v/>
      </c>
      <c r="G516" s="25" t="n"/>
      <c r="H516" s="25" t="n"/>
      <c r="I516" s="25" t="n"/>
      <c r="J516" s="25" t="n"/>
      <c r="K516" s="25" t="n"/>
      <c r="L516" s="29" t="n"/>
      <c r="M516" s="25" t="n"/>
      <c r="N516" s="30" t="n"/>
      <c r="O516" s="31">
        <f>IF(N516="","",IF(G516="Revenue",ROUND(N516*VATRate,2),0))</f>
        <v/>
      </c>
      <c r="P516" s="31">
        <f>IF(N516="","",N516+O516)</f>
        <v/>
      </c>
    </row>
    <row r="517">
      <c r="A517" s="26" t="n"/>
      <c r="B517" s="27">
        <f>IF(A517="","",IF(OR(A517&lt;MIN(Lists!$C$4:$C$15),A517&gt;MAX(Lists!$D$4:$D$15)),"No period",INDEX(Lists!$B$4:$B$15,MATCH(A517,Lists!$C$4:$C$15,1))))</f>
        <v/>
      </c>
      <c r="C517" s="28">
        <f>IF(B517="","",IFERROR(INDEX(Lists!$A$4:$A$15,MATCH(B517,Lists!$B$4:$B$15,0)),0))</f>
        <v/>
      </c>
      <c r="D517" s="25" t="n"/>
      <c r="E517" s="24" t="n"/>
      <c r="F517" s="27">
        <f>IF(E517="","",IFERROR(INDEX(Lists!$H$4:$H$40,MATCH(E517,Lists!$F$4:$F$40,0)),"UNMAPPED"))</f>
        <v/>
      </c>
      <c r="G517" s="25" t="n"/>
      <c r="H517" s="25" t="n"/>
      <c r="I517" s="25" t="n"/>
      <c r="J517" s="25" t="n"/>
      <c r="K517" s="25" t="n"/>
      <c r="L517" s="29" t="n"/>
      <c r="M517" s="25" t="n"/>
      <c r="N517" s="30" t="n"/>
      <c r="O517" s="31">
        <f>IF(N517="","",IF(G517="Revenue",ROUND(N517*VATRate,2),0))</f>
        <v/>
      </c>
      <c r="P517" s="31">
        <f>IF(N517="","",N517+O517)</f>
        <v/>
      </c>
    </row>
    <row r="518">
      <c r="A518" s="26" t="n"/>
      <c r="B518" s="27">
        <f>IF(A518="","",IF(OR(A518&lt;MIN(Lists!$C$4:$C$15),A518&gt;MAX(Lists!$D$4:$D$15)),"No period",INDEX(Lists!$B$4:$B$15,MATCH(A518,Lists!$C$4:$C$15,1))))</f>
        <v/>
      </c>
      <c r="C518" s="28">
        <f>IF(B518="","",IFERROR(INDEX(Lists!$A$4:$A$15,MATCH(B518,Lists!$B$4:$B$15,0)),0))</f>
        <v/>
      </c>
      <c r="D518" s="25" t="n"/>
      <c r="E518" s="24" t="n"/>
      <c r="F518" s="27">
        <f>IF(E518="","",IFERROR(INDEX(Lists!$H$4:$H$40,MATCH(E518,Lists!$F$4:$F$40,0)),"UNMAPPED"))</f>
        <v/>
      </c>
      <c r="G518" s="25" t="n"/>
      <c r="H518" s="25" t="n"/>
      <c r="I518" s="25" t="n"/>
      <c r="J518" s="25" t="n"/>
      <c r="K518" s="25" t="n"/>
      <c r="L518" s="29" t="n"/>
      <c r="M518" s="25" t="n"/>
      <c r="N518" s="30" t="n"/>
      <c r="O518" s="31">
        <f>IF(N518="","",IF(G518="Revenue",ROUND(N518*VATRate,2),0))</f>
        <v/>
      </c>
      <c r="P518" s="31">
        <f>IF(N518="","",N518+O518)</f>
        <v/>
      </c>
    </row>
    <row r="519">
      <c r="A519" s="26" t="n"/>
      <c r="B519" s="27">
        <f>IF(A519="","",IF(OR(A519&lt;MIN(Lists!$C$4:$C$15),A519&gt;MAX(Lists!$D$4:$D$15)),"No period",INDEX(Lists!$B$4:$B$15,MATCH(A519,Lists!$C$4:$C$15,1))))</f>
        <v/>
      </c>
      <c r="C519" s="28">
        <f>IF(B519="","",IFERROR(INDEX(Lists!$A$4:$A$15,MATCH(B519,Lists!$B$4:$B$15,0)),0))</f>
        <v/>
      </c>
      <c r="D519" s="25" t="n"/>
      <c r="E519" s="24" t="n"/>
      <c r="F519" s="27">
        <f>IF(E519="","",IFERROR(INDEX(Lists!$H$4:$H$40,MATCH(E519,Lists!$F$4:$F$40,0)),"UNMAPPED"))</f>
        <v/>
      </c>
      <c r="G519" s="25" t="n"/>
      <c r="H519" s="25" t="n"/>
      <c r="I519" s="25" t="n"/>
      <c r="J519" s="25" t="n"/>
      <c r="K519" s="25" t="n"/>
      <c r="L519" s="29" t="n"/>
      <c r="M519" s="25" t="n"/>
      <c r="N519" s="30" t="n"/>
      <c r="O519" s="31">
        <f>IF(N519="","",IF(G519="Revenue",ROUND(N519*VATRate,2),0))</f>
        <v/>
      </c>
      <c r="P519" s="31">
        <f>IF(N519="","",N519+O519)</f>
        <v/>
      </c>
    </row>
    <row r="520">
      <c r="A520" s="26" t="n"/>
      <c r="B520" s="27">
        <f>IF(A520="","",IF(OR(A520&lt;MIN(Lists!$C$4:$C$15),A520&gt;MAX(Lists!$D$4:$D$15)),"No period",INDEX(Lists!$B$4:$B$15,MATCH(A520,Lists!$C$4:$C$15,1))))</f>
        <v/>
      </c>
      <c r="C520" s="28">
        <f>IF(B520="","",IFERROR(INDEX(Lists!$A$4:$A$15,MATCH(B520,Lists!$B$4:$B$15,0)),0))</f>
        <v/>
      </c>
      <c r="D520" s="25" t="n"/>
      <c r="E520" s="24" t="n"/>
      <c r="F520" s="27">
        <f>IF(E520="","",IFERROR(INDEX(Lists!$H$4:$H$40,MATCH(E520,Lists!$F$4:$F$40,0)),"UNMAPPED"))</f>
        <v/>
      </c>
      <c r="G520" s="25" t="n"/>
      <c r="H520" s="25" t="n"/>
      <c r="I520" s="25" t="n"/>
      <c r="J520" s="25" t="n"/>
      <c r="K520" s="25" t="n"/>
      <c r="L520" s="29" t="n"/>
      <c r="M520" s="25" t="n"/>
      <c r="N520" s="30" t="n"/>
      <c r="O520" s="31">
        <f>IF(N520="","",IF(G520="Revenue",ROUND(N520*VATRate,2),0))</f>
        <v/>
      </c>
      <c r="P520" s="31">
        <f>IF(N520="","",N520+O520)</f>
        <v/>
      </c>
    </row>
    <row r="521">
      <c r="A521" s="26" t="n"/>
      <c r="B521" s="27">
        <f>IF(A521="","",IF(OR(A521&lt;MIN(Lists!$C$4:$C$15),A521&gt;MAX(Lists!$D$4:$D$15)),"No period",INDEX(Lists!$B$4:$B$15,MATCH(A521,Lists!$C$4:$C$15,1))))</f>
        <v/>
      </c>
      <c r="C521" s="28">
        <f>IF(B521="","",IFERROR(INDEX(Lists!$A$4:$A$15,MATCH(B521,Lists!$B$4:$B$15,0)),0))</f>
        <v/>
      </c>
      <c r="D521" s="25" t="n"/>
      <c r="E521" s="24" t="n"/>
      <c r="F521" s="27">
        <f>IF(E521="","",IFERROR(INDEX(Lists!$H$4:$H$40,MATCH(E521,Lists!$F$4:$F$40,0)),"UNMAPPED"))</f>
        <v/>
      </c>
      <c r="G521" s="25" t="n"/>
      <c r="H521" s="25" t="n"/>
      <c r="I521" s="25" t="n"/>
      <c r="J521" s="25" t="n"/>
      <c r="K521" s="25" t="n"/>
      <c r="L521" s="29" t="n"/>
      <c r="M521" s="25" t="n"/>
      <c r="N521" s="30" t="n"/>
      <c r="O521" s="31">
        <f>IF(N521="","",IF(G521="Revenue",ROUND(N521*VATRate,2),0))</f>
        <v/>
      </c>
      <c r="P521" s="31">
        <f>IF(N521="","",N521+O521)</f>
        <v/>
      </c>
    </row>
    <row r="522">
      <c r="A522" s="26" t="n"/>
      <c r="B522" s="27">
        <f>IF(A522="","",IF(OR(A522&lt;MIN(Lists!$C$4:$C$15),A522&gt;MAX(Lists!$D$4:$D$15)),"No period",INDEX(Lists!$B$4:$B$15,MATCH(A522,Lists!$C$4:$C$15,1))))</f>
        <v/>
      </c>
      <c r="C522" s="28">
        <f>IF(B522="","",IFERROR(INDEX(Lists!$A$4:$A$15,MATCH(B522,Lists!$B$4:$B$15,0)),0))</f>
        <v/>
      </c>
      <c r="D522" s="25" t="n"/>
      <c r="E522" s="24" t="n"/>
      <c r="F522" s="27">
        <f>IF(E522="","",IFERROR(INDEX(Lists!$H$4:$H$40,MATCH(E522,Lists!$F$4:$F$40,0)),"UNMAPPED"))</f>
        <v/>
      </c>
      <c r="G522" s="25" t="n"/>
      <c r="H522" s="25" t="n"/>
      <c r="I522" s="25" t="n"/>
      <c r="J522" s="25" t="n"/>
      <c r="K522" s="25" t="n"/>
      <c r="L522" s="29" t="n"/>
      <c r="M522" s="25" t="n"/>
      <c r="N522" s="30" t="n"/>
      <c r="O522" s="31">
        <f>IF(N522="","",IF(G522="Revenue",ROUND(N522*VATRate,2),0))</f>
        <v/>
      </c>
      <c r="P522" s="31">
        <f>IF(N522="","",N522+O522)</f>
        <v/>
      </c>
    </row>
    <row r="523">
      <c r="A523" s="26" t="n"/>
      <c r="B523" s="27">
        <f>IF(A523="","",IF(OR(A523&lt;MIN(Lists!$C$4:$C$15),A523&gt;MAX(Lists!$D$4:$D$15)),"No period",INDEX(Lists!$B$4:$B$15,MATCH(A523,Lists!$C$4:$C$15,1))))</f>
        <v/>
      </c>
      <c r="C523" s="28">
        <f>IF(B523="","",IFERROR(INDEX(Lists!$A$4:$A$15,MATCH(B523,Lists!$B$4:$B$15,0)),0))</f>
        <v/>
      </c>
      <c r="D523" s="25" t="n"/>
      <c r="E523" s="24" t="n"/>
      <c r="F523" s="27">
        <f>IF(E523="","",IFERROR(INDEX(Lists!$H$4:$H$40,MATCH(E523,Lists!$F$4:$F$40,0)),"UNMAPPED"))</f>
        <v/>
      </c>
      <c r="G523" s="25" t="n"/>
      <c r="H523" s="25" t="n"/>
      <c r="I523" s="25" t="n"/>
      <c r="J523" s="25" t="n"/>
      <c r="K523" s="25" t="n"/>
      <c r="L523" s="29" t="n"/>
      <c r="M523" s="25" t="n"/>
      <c r="N523" s="30" t="n"/>
      <c r="O523" s="31">
        <f>IF(N523="","",IF(G523="Revenue",ROUND(N523*VATRate,2),0))</f>
        <v/>
      </c>
      <c r="P523" s="31">
        <f>IF(N523="","",N523+O523)</f>
        <v/>
      </c>
    </row>
    <row r="524">
      <c r="A524" s="26" t="n"/>
      <c r="B524" s="27">
        <f>IF(A524="","",IF(OR(A524&lt;MIN(Lists!$C$4:$C$15),A524&gt;MAX(Lists!$D$4:$D$15)),"No period",INDEX(Lists!$B$4:$B$15,MATCH(A524,Lists!$C$4:$C$15,1))))</f>
        <v/>
      </c>
      <c r="C524" s="28">
        <f>IF(B524="","",IFERROR(INDEX(Lists!$A$4:$A$15,MATCH(B524,Lists!$B$4:$B$15,0)),0))</f>
        <v/>
      </c>
      <c r="D524" s="25" t="n"/>
      <c r="E524" s="24" t="n"/>
      <c r="F524" s="27">
        <f>IF(E524="","",IFERROR(INDEX(Lists!$H$4:$H$40,MATCH(E524,Lists!$F$4:$F$40,0)),"UNMAPPED"))</f>
        <v/>
      </c>
      <c r="G524" s="25" t="n"/>
      <c r="H524" s="25" t="n"/>
      <c r="I524" s="25" t="n"/>
      <c r="J524" s="25" t="n"/>
      <c r="K524" s="25" t="n"/>
      <c r="L524" s="29" t="n"/>
      <c r="M524" s="25" t="n"/>
      <c r="N524" s="30" t="n"/>
      <c r="O524" s="31">
        <f>IF(N524="","",IF(G524="Revenue",ROUND(N524*VATRate,2),0))</f>
        <v/>
      </c>
      <c r="P524" s="31">
        <f>IF(N524="","",N524+O524)</f>
        <v/>
      </c>
    </row>
    <row r="525">
      <c r="A525" s="26" t="n"/>
      <c r="B525" s="27">
        <f>IF(A525="","",IF(OR(A525&lt;MIN(Lists!$C$4:$C$15),A525&gt;MAX(Lists!$D$4:$D$15)),"No period",INDEX(Lists!$B$4:$B$15,MATCH(A525,Lists!$C$4:$C$15,1))))</f>
        <v/>
      </c>
      <c r="C525" s="28">
        <f>IF(B525="","",IFERROR(INDEX(Lists!$A$4:$A$15,MATCH(B525,Lists!$B$4:$B$15,0)),0))</f>
        <v/>
      </c>
      <c r="D525" s="25" t="n"/>
      <c r="E525" s="24" t="n"/>
      <c r="F525" s="27">
        <f>IF(E525="","",IFERROR(INDEX(Lists!$H$4:$H$40,MATCH(E525,Lists!$F$4:$F$40,0)),"UNMAPPED"))</f>
        <v/>
      </c>
      <c r="G525" s="25" t="n"/>
      <c r="H525" s="25" t="n"/>
      <c r="I525" s="25" t="n"/>
      <c r="J525" s="25" t="n"/>
      <c r="K525" s="25" t="n"/>
      <c r="L525" s="29" t="n"/>
      <c r="M525" s="25" t="n"/>
      <c r="N525" s="30" t="n"/>
      <c r="O525" s="31">
        <f>IF(N525="","",IF(G525="Revenue",ROUND(N525*VATRate,2),0))</f>
        <v/>
      </c>
      <c r="P525" s="31">
        <f>IF(N525="","",N525+O525)</f>
        <v/>
      </c>
    </row>
    <row r="526">
      <c r="A526" s="26" t="n"/>
      <c r="B526" s="27">
        <f>IF(A526="","",IF(OR(A526&lt;MIN(Lists!$C$4:$C$15),A526&gt;MAX(Lists!$D$4:$D$15)),"No period",INDEX(Lists!$B$4:$B$15,MATCH(A526,Lists!$C$4:$C$15,1))))</f>
        <v/>
      </c>
      <c r="C526" s="28">
        <f>IF(B526="","",IFERROR(INDEX(Lists!$A$4:$A$15,MATCH(B526,Lists!$B$4:$B$15,0)),0))</f>
        <v/>
      </c>
      <c r="D526" s="25" t="n"/>
      <c r="E526" s="24" t="n"/>
      <c r="F526" s="27">
        <f>IF(E526="","",IFERROR(INDEX(Lists!$H$4:$H$40,MATCH(E526,Lists!$F$4:$F$40,0)),"UNMAPPED"))</f>
        <v/>
      </c>
      <c r="G526" s="25" t="n"/>
      <c r="H526" s="25" t="n"/>
      <c r="I526" s="25" t="n"/>
      <c r="J526" s="25" t="n"/>
      <c r="K526" s="25" t="n"/>
      <c r="L526" s="29" t="n"/>
      <c r="M526" s="25" t="n"/>
      <c r="N526" s="30" t="n"/>
      <c r="O526" s="31">
        <f>IF(N526="","",IF(G526="Revenue",ROUND(N526*VATRate,2),0))</f>
        <v/>
      </c>
      <c r="P526" s="31">
        <f>IF(N526="","",N526+O526)</f>
        <v/>
      </c>
    </row>
    <row r="527">
      <c r="A527" s="26" t="n"/>
      <c r="B527" s="27">
        <f>IF(A527="","",IF(OR(A527&lt;MIN(Lists!$C$4:$C$15),A527&gt;MAX(Lists!$D$4:$D$15)),"No period",INDEX(Lists!$B$4:$B$15,MATCH(A527,Lists!$C$4:$C$15,1))))</f>
        <v/>
      </c>
      <c r="C527" s="28">
        <f>IF(B527="","",IFERROR(INDEX(Lists!$A$4:$A$15,MATCH(B527,Lists!$B$4:$B$15,0)),0))</f>
        <v/>
      </c>
      <c r="D527" s="25" t="n"/>
      <c r="E527" s="24" t="n"/>
      <c r="F527" s="27">
        <f>IF(E527="","",IFERROR(INDEX(Lists!$H$4:$H$40,MATCH(E527,Lists!$F$4:$F$40,0)),"UNMAPPED"))</f>
        <v/>
      </c>
      <c r="G527" s="25" t="n"/>
      <c r="H527" s="25" t="n"/>
      <c r="I527" s="25" t="n"/>
      <c r="J527" s="25" t="n"/>
      <c r="K527" s="25" t="n"/>
      <c r="L527" s="29" t="n"/>
      <c r="M527" s="25" t="n"/>
      <c r="N527" s="30" t="n"/>
      <c r="O527" s="31">
        <f>IF(N527="","",IF(G527="Revenue",ROUND(N527*VATRate,2),0))</f>
        <v/>
      </c>
      <c r="P527" s="31">
        <f>IF(N527="","",N527+O527)</f>
        <v/>
      </c>
    </row>
    <row r="528">
      <c r="A528" s="26" t="n"/>
      <c r="B528" s="27">
        <f>IF(A528="","",IF(OR(A528&lt;MIN(Lists!$C$4:$C$15),A528&gt;MAX(Lists!$D$4:$D$15)),"No period",INDEX(Lists!$B$4:$B$15,MATCH(A528,Lists!$C$4:$C$15,1))))</f>
        <v/>
      </c>
      <c r="C528" s="28">
        <f>IF(B528="","",IFERROR(INDEX(Lists!$A$4:$A$15,MATCH(B528,Lists!$B$4:$B$15,0)),0))</f>
        <v/>
      </c>
      <c r="D528" s="25" t="n"/>
      <c r="E528" s="24" t="n"/>
      <c r="F528" s="27">
        <f>IF(E528="","",IFERROR(INDEX(Lists!$H$4:$H$40,MATCH(E528,Lists!$F$4:$F$40,0)),"UNMAPPED"))</f>
        <v/>
      </c>
      <c r="G528" s="25" t="n"/>
      <c r="H528" s="25" t="n"/>
      <c r="I528" s="25" t="n"/>
      <c r="J528" s="25" t="n"/>
      <c r="K528" s="25" t="n"/>
      <c r="L528" s="29" t="n"/>
      <c r="M528" s="25" t="n"/>
      <c r="N528" s="30" t="n"/>
      <c r="O528" s="31">
        <f>IF(N528="","",IF(G528="Revenue",ROUND(N528*VATRate,2),0))</f>
        <v/>
      </c>
      <c r="P528" s="31">
        <f>IF(N528="","",N528+O528)</f>
        <v/>
      </c>
    </row>
    <row r="529">
      <c r="A529" s="26" t="n"/>
      <c r="B529" s="27">
        <f>IF(A529="","",IF(OR(A529&lt;MIN(Lists!$C$4:$C$15),A529&gt;MAX(Lists!$D$4:$D$15)),"No period",INDEX(Lists!$B$4:$B$15,MATCH(A529,Lists!$C$4:$C$15,1))))</f>
        <v/>
      </c>
      <c r="C529" s="28">
        <f>IF(B529="","",IFERROR(INDEX(Lists!$A$4:$A$15,MATCH(B529,Lists!$B$4:$B$15,0)),0))</f>
        <v/>
      </c>
      <c r="D529" s="25" t="n"/>
      <c r="E529" s="24" t="n"/>
      <c r="F529" s="27">
        <f>IF(E529="","",IFERROR(INDEX(Lists!$H$4:$H$40,MATCH(E529,Lists!$F$4:$F$40,0)),"UNMAPPED"))</f>
        <v/>
      </c>
      <c r="G529" s="25" t="n"/>
      <c r="H529" s="25" t="n"/>
      <c r="I529" s="25" t="n"/>
      <c r="J529" s="25" t="n"/>
      <c r="K529" s="25" t="n"/>
      <c r="L529" s="29" t="n"/>
      <c r="M529" s="25" t="n"/>
      <c r="N529" s="30" t="n"/>
      <c r="O529" s="31">
        <f>IF(N529="","",IF(G529="Revenue",ROUND(N529*VATRate,2),0))</f>
        <v/>
      </c>
      <c r="P529" s="31">
        <f>IF(N529="","",N529+O529)</f>
        <v/>
      </c>
    </row>
    <row r="530">
      <c r="A530" s="26" t="n"/>
      <c r="B530" s="27">
        <f>IF(A530="","",IF(OR(A530&lt;MIN(Lists!$C$4:$C$15),A530&gt;MAX(Lists!$D$4:$D$15)),"No period",INDEX(Lists!$B$4:$B$15,MATCH(A530,Lists!$C$4:$C$15,1))))</f>
        <v/>
      </c>
      <c r="C530" s="28">
        <f>IF(B530="","",IFERROR(INDEX(Lists!$A$4:$A$15,MATCH(B530,Lists!$B$4:$B$15,0)),0))</f>
        <v/>
      </c>
      <c r="D530" s="25" t="n"/>
      <c r="E530" s="24" t="n"/>
      <c r="F530" s="27">
        <f>IF(E530="","",IFERROR(INDEX(Lists!$H$4:$H$40,MATCH(E530,Lists!$F$4:$F$40,0)),"UNMAPPED"))</f>
        <v/>
      </c>
      <c r="G530" s="25" t="n"/>
      <c r="H530" s="25" t="n"/>
      <c r="I530" s="25" t="n"/>
      <c r="J530" s="25" t="n"/>
      <c r="K530" s="25" t="n"/>
      <c r="L530" s="29" t="n"/>
      <c r="M530" s="25" t="n"/>
      <c r="N530" s="30" t="n"/>
      <c r="O530" s="31">
        <f>IF(N530="","",IF(G530="Revenue",ROUND(N530*VATRate,2),0))</f>
        <v/>
      </c>
      <c r="P530" s="31">
        <f>IF(N530="","",N530+O530)</f>
        <v/>
      </c>
    </row>
    <row r="531">
      <c r="A531" s="26" t="n"/>
      <c r="B531" s="27">
        <f>IF(A531="","",IF(OR(A531&lt;MIN(Lists!$C$4:$C$15),A531&gt;MAX(Lists!$D$4:$D$15)),"No period",INDEX(Lists!$B$4:$B$15,MATCH(A531,Lists!$C$4:$C$15,1))))</f>
        <v/>
      </c>
      <c r="C531" s="28">
        <f>IF(B531="","",IFERROR(INDEX(Lists!$A$4:$A$15,MATCH(B531,Lists!$B$4:$B$15,0)),0))</f>
        <v/>
      </c>
      <c r="D531" s="25" t="n"/>
      <c r="E531" s="24" t="n"/>
      <c r="F531" s="27">
        <f>IF(E531="","",IFERROR(INDEX(Lists!$H$4:$H$40,MATCH(E531,Lists!$F$4:$F$40,0)),"UNMAPPED"))</f>
        <v/>
      </c>
      <c r="G531" s="25" t="n"/>
      <c r="H531" s="25" t="n"/>
      <c r="I531" s="25" t="n"/>
      <c r="J531" s="25" t="n"/>
      <c r="K531" s="25" t="n"/>
      <c r="L531" s="29" t="n"/>
      <c r="M531" s="25" t="n"/>
      <c r="N531" s="30" t="n"/>
      <c r="O531" s="31">
        <f>IF(N531="","",IF(G531="Revenue",ROUND(N531*VATRate,2),0))</f>
        <v/>
      </c>
      <c r="P531" s="31">
        <f>IF(N531="","",N531+O531)</f>
        <v/>
      </c>
    </row>
    <row r="532">
      <c r="A532" s="26" t="n"/>
      <c r="B532" s="27">
        <f>IF(A532="","",IF(OR(A532&lt;MIN(Lists!$C$4:$C$15),A532&gt;MAX(Lists!$D$4:$D$15)),"No period",INDEX(Lists!$B$4:$B$15,MATCH(A532,Lists!$C$4:$C$15,1))))</f>
        <v/>
      </c>
      <c r="C532" s="28">
        <f>IF(B532="","",IFERROR(INDEX(Lists!$A$4:$A$15,MATCH(B532,Lists!$B$4:$B$15,0)),0))</f>
        <v/>
      </c>
      <c r="D532" s="25" t="n"/>
      <c r="E532" s="24" t="n"/>
      <c r="F532" s="27">
        <f>IF(E532="","",IFERROR(INDEX(Lists!$H$4:$H$40,MATCH(E532,Lists!$F$4:$F$40,0)),"UNMAPPED"))</f>
        <v/>
      </c>
      <c r="G532" s="25" t="n"/>
      <c r="H532" s="25" t="n"/>
      <c r="I532" s="25" t="n"/>
      <c r="J532" s="25" t="n"/>
      <c r="K532" s="25" t="n"/>
      <c r="L532" s="29" t="n"/>
      <c r="M532" s="25" t="n"/>
      <c r="N532" s="30" t="n"/>
      <c r="O532" s="31">
        <f>IF(N532="","",IF(G532="Revenue",ROUND(N532*VATRate,2),0))</f>
        <v/>
      </c>
      <c r="P532" s="31">
        <f>IF(N532="","",N532+O532)</f>
        <v/>
      </c>
    </row>
    <row r="533">
      <c r="A533" s="26" t="n"/>
      <c r="B533" s="27">
        <f>IF(A533="","",IF(OR(A533&lt;MIN(Lists!$C$4:$C$15),A533&gt;MAX(Lists!$D$4:$D$15)),"No period",INDEX(Lists!$B$4:$B$15,MATCH(A533,Lists!$C$4:$C$15,1))))</f>
        <v/>
      </c>
      <c r="C533" s="28">
        <f>IF(B533="","",IFERROR(INDEX(Lists!$A$4:$A$15,MATCH(B533,Lists!$B$4:$B$15,0)),0))</f>
        <v/>
      </c>
      <c r="D533" s="25" t="n"/>
      <c r="E533" s="24" t="n"/>
      <c r="F533" s="27">
        <f>IF(E533="","",IFERROR(INDEX(Lists!$H$4:$H$40,MATCH(E533,Lists!$F$4:$F$40,0)),"UNMAPPED"))</f>
        <v/>
      </c>
      <c r="G533" s="25" t="n"/>
      <c r="H533" s="25" t="n"/>
      <c r="I533" s="25" t="n"/>
      <c r="J533" s="25" t="n"/>
      <c r="K533" s="25" t="n"/>
      <c r="L533" s="29" t="n"/>
      <c r="M533" s="25" t="n"/>
      <c r="N533" s="30" t="n"/>
      <c r="O533" s="31">
        <f>IF(N533="","",IF(G533="Revenue",ROUND(N533*VATRate,2),0))</f>
        <v/>
      </c>
      <c r="P533" s="31">
        <f>IF(N533="","",N533+O533)</f>
        <v/>
      </c>
    </row>
    <row r="534">
      <c r="A534" s="26" t="n"/>
      <c r="B534" s="27">
        <f>IF(A534="","",IF(OR(A534&lt;MIN(Lists!$C$4:$C$15),A534&gt;MAX(Lists!$D$4:$D$15)),"No period",INDEX(Lists!$B$4:$B$15,MATCH(A534,Lists!$C$4:$C$15,1))))</f>
        <v/>
      </c>
      <c r="C534" s="28">
        <f>IF(B534="","",IFERROR(INDEX(Lists!$A$4:$A$15,MATCH(B534,Lists!$B$4:$B$15,0)),0))</f>
        <v/>
      </c>
      <c r="D534" s="25" t="n"/>
      <c r="E534" s="24" t="n"/>
      <c r="F534" s="27">
        <f>IF(E534="","",IFERROR(INDEX(Lists!$H$4:$H$40,MATCH(E534,Lists!$F$4:$F$40,0)),"UNMAPPED"))</f>
        <v/>
      </c>
      <c r="G534" s="25" t="n"/>
      <c r="H534" s="25" t="n"/>
      <c r="I534" s="25" t="n"/>
      <c r="J534" s="25" t="n"/>
      <c r="K534" s="25" t="n"/>
      <c r="L534" s="29" t="n"/>
      <c r="M534" s="25" t="n"/>
      <c r="N534" s="30" t="n"/>
      <c r="O534" s="31">
        <f>IF(N534="","",IF(G534="Revenue",ROUND(N534*VATRate,2),0))</f>
        <v/>
      </c>
      <c r="P534" s="31">
        <f>IF(N534="","",N534+O534)</f>
        <v/>
      </c>
    </row>
    <row r="535">
      <c r="A535" s="26" t="n"/>
      <c r="B535" s="27">
        <f>IF(A535="","",IF(OR(A535&lt;MIN(Lists!$C$4:$C$15),A535&gt;MAX(Lists!$D$4:$D$15)),"No period",INDEX(Lists!$B$4:$B$15,MATCH(A535,Lists!$C$4:$C$15,1))))</f>
        <v/>
      </c>
      <c r="C535" s="28">
        <f>IF(B535="","",IFERROR(INDEX(Lists!$A$4:$A$15,MATCH(B535,Lists!$B$4:$B$15,0)),0))</f>
        <v/>
      </c>
      <c r="D535" s="25" t="n"/>
      <c r="E535" s="24" t="n"/>
      <c r="F535" s="27">
        <f>IF(E535="","",IFERROR(INDEX(Lists!$H$4:$H$40,MATCH(E535,Lists!$F$4:$F$40,0)),"UNMAPPED"))</f>
        <v/>
      </c>
      <c r="G535" s="25" t="n"/>
      <c r="H535" s="25" t="n"/>
      <c r="I535" s="25" t="n"/>
      <c r="J535" s="25" t="n"/>
      <c r="K535" s="25" t="n"/>
      <c r="L535" s="29" t="n"/>
      <c r="M535" s="25" t="n"/>
      <c r="N535" s="30" t="n"/>
      <c r="O535" s="31">
        <f>IF(N535="","",IF(G535="Revenue",ROUND(N535*VATRate,2),0))</f>
        <v/>
      </c>
      <c r="P535" s="31">
        <f>IF(N535="","",N535+O535)</f>
        <v/>
      </c>
    </row>
    <row r="536">
      <c r="A536" s="26" t="n"/>
      <c r="B536" s="27">
        <f>IF(A536="","",IF(OR(A536&lt;MIN(Lists!$C$4:$C$15),A536&gt;MAX(Lists!$D$4:$D$15)),"No period",INDEX(Lists!$B$4:$B$15,MATCH(A536,Lists!$C$4:$C$15,1))))</f>
        <v/>
      </c>
      <c r="C536" s="28">
        <f>IF(B536="","",IFERROR(INDEX(Lists!$A$4:$A$15,MATCH(B536,Lists!$B$4:$B$15,0)),0))</f>
        <v/>
      </c>
      <c r="D536" s="25" t="n"/>
      <c r="E536" s="24" t="n"/>
      <c r="F536" s="27">
        <f>IF(E536="","",IFERROR(INDEX(Lists!$H$4:$H$40,MATCH(E536,Lists!$F$4:$F$40,0)),"UNMAPPED"))</f>
        <v/>
      </c>
      <c r="G536" s="25" t="n"/>
      <c r="H536" s="25" t="n"/>
      <c r="I536" s="25" t="n"/>
      <c r="J536" s="25" t="n"/>
      <c r="K536" s="25" t="n"/>
      <c r="L536" s="29" t="n"/>
      <c r="M536" s="25" t="n"/>
      <c r="N536" s="30" t="n"/>
      <c r="O536" s="31">
        <f>IF(N536="","",IF(G536="Revenue",ROUND(N536*VATRate,2),0))</f>
        <v/>
      </c>
      <c r="P536" s="31">
        <f>IF(N536="","",N536+O536)</f>
        <v/>
      </c>
    </row>
    <row r="537">
      <c r="A537" s="26" t="n"/>
      <c r="B537" s="27">
        <f>IF(A537="","",IF(OR(A537&lt;MIN(Lists!$C$4:$C$15),A537&gt;MAX(Lists!$D$4:$D$15)),"No period",INDEX(Lists!$B$4:$B$15,MATCH(A537,Lists!$C$4:$C$15,1))))</f>
        <v/>
      </c>
      <c r="C537" s="28">
        <f>IF(B537="","",IFERROR(INDEX(Lists!$A$4:$A$15,MATCH(B537,Lists!$B$4:$B$15,0)),0))</f>
        <v/>
      </c>
      <c r="D537" s="25" t="n"/>
      <c r="E537" s="24" t="n"/>
      <c r="F537" s="27">
        <f>IF(E537="","",IFERROR(INDEX(Lists!$H$4:$H$40,MATCH(E537,Lists!$F$4:$F$40,0)),"UNMAPPED"))</f>
        <v/>
      </c>
      <c r="G537" s="25" t="n"/>
      <c r="H537" s="25" t="n"/>
      <c r="I537" s="25" t="n"/>
      <c r="J537" s="25" t="n"/>
      <c r="K537" s="25" t="n"/>
      <c r="L537" s="29" t="n"/>
      <c r="M537" s="25" t="n"/>
      <c r="N537" s="30" t="n"/>
      <c r="O537" s="31">
        <f>IF(N537="","",IF(G537="Revenue",ROUND(N537*VATRate,2),0))</f>
        <v/>
      </c>
      <c r="P537" s="31">
        <f>IF(N537="","",N537+O537)</f>
        <v/>
      </c>
    </row>
    <row r="538">
      <c r="A538" s="26" t="n"/>
      <c r="B538" s="27">
        <f>IF(A538="","",IF(OR(A538&lt;MIN(Lists!$C$4:$C$15),A538&gt;MAX(Lists!$D$4:$D$15)),"No period",INDEX(Lists!$B$4:$B$15,MATCH(A538,Lists!$C$4:$C$15,1))))</f>
        <v/>
      </c>
      <c r="C538" s="28">
        <f>IF(B538="","",IFERROR(INDEX(Lists!$A$4:$A$15,MATCH(B538,Lists!$B$4:$B$15,0)),0))</f>
        <v/>
      </c>
      <c r="D538" s="25" t="n"/>
      <c r="E538" s="24" t="n"/>
      <c r="F538" s="27">
        <f>IF(E538="","",IFERROR(INDEX(Lists!$H$4:$H$40,MATCH(E538,Lists!$F$4:$F$40,0)),"UNMAPPED"))</f>
        <v/>
      </c>
      <c r="G538" s="25" t="n"/>
      <c r="H538" s="25" t="n"/>
      <c r="I538" s="25" t="n"/>
      <c r="J538" s="25" t="n"/>
      <c r="K538" s="25" t="n"/>
      <c r="L538" s="29" t="n"/>
      <c r="M538" s="25" t="n"/>
      <c r="N538" s="30" t="n"/>
      <c r="O538" s="31">
        <f>IF(N538="","",IF(G538="Revenue",ROUND(N538*VATRate,2),0))</f>
        <v/>
      </c>
      <c r="P538" s="31">
        <f>IF(N538="","",N538+O538)</f>
        <v/>
      </c>
    </row>
    <row r="539">
      <c r="A539" s="26" t="n"/>
      <c r="B539" s="27">
        <f>IF(A539="","",IF(OR(A539&lt;MIN(Lists!$C$4:$C$15),A539&gt;MAX(Lists!$D$4:$D$15)),"No period",INDEX(Lists!$B$4:$B$15,MATCH(A539,Lists!$C$4:$C$15,1))))</f>
        <v/>
      </c>
      <c r="C539" s="28">
        <f>IF(B539="","",IFERROR(INDEX(Lists!$A$4:$A$15,MATCH(B539,Lists!$B$4:$B$15,0)),0))</f>
        <v/>
      </c>
      <c r="D539" s="25" t="n"/>
      <c r="E539" s="24" t="n"/>
      <c r="F539" s="27">
        <f>IF(E539="","",IFERROR(INDEX(Lists!$H$4:$H$40,MATCH(E539,Lists!$F$4:$F$40,0)),"UNMAPPED"))</f>
        <v/>
      </c>
      <c r="G539" s="25" t="n"/>
      <c r="H539" s="25" t="n"/>
      <c r="I539" s="25" t="n"/>
      <c r="J539" s="25" t="n"/>
      <c r="K539" s="25" t="n"/>
      <c r="L539" s="29" t="n"/>
      <c r="M539" s="25" t="n"/>
      <c r="N539" s="30" t="n"/>
      <c r="O539" s="31">
        <f>IF(N539="","",IF(G539="Revenue",ROUND(N539*VATRate,2),0))</f>
        <v/>
      </c>
      <c r="P539" s="31">
        <f>IF(N539="","",N539+O539)</f>
        <v/>
      </c>
    </row>
    <row r="540">
      <c r="A540" s="26" t="n"/>
      <c r="B540" s="27">
        <f>IF(A540="","",IF(OR(A540&lt;MIN(Lists!$C$4:$C$15),A540&gt;MAX(Lists!$D$4:$D$15)),"No period",INDEX(Lists!$B$4:$B$15,MATCH(A540,Lists!$C$4:$C$15,1))))</f>
        <v/>
      </c>
      <c r="C540" s="28">
        <f>IF(B540="","",IFERROR(INDEX(Lists!$A$4:$A$15,MATCH(B540,Lists!$B$4:$B$15,0)),0))</f>
        <v/>
      </c>
      <c r="D540" s="25" t="n"/>
      <c r="E540" s="24" t="n"/>
      <c r="F540" s="27">
        <f>IF(E540="","",IFERROR(INDEX(Lists!$H$4:$H$40,MATCH(E540,Lists!$F$4:$F$40,0)),"UNMAPPED"))</f>
        <v/>
      </c>
      <c r="G540" s="25" t="n"/>
      <c r="H540" s="25" t="n"/>
      <c r="I540" s="25" t="n"/>
      <c r="J540" s="25" t="n"/>
      <c r="K540" s="25" t="n"/>
      <c r="L540" s="29" t="n"/>
      <c r="M540" s="25" t="n"/>
      <c r="N540" s="30" t="n"/>
      <c r="O540" s="31">
        <f>IF(N540="","",IF(G540="Revenue",ROUND(N540*VATRate,2),0))</f>
        <v/>
      </c>
      <c r="P540" s="31">
        <f>IF(N540="","",N540+O540)</f>
        <v/>
      </c>
    </row>
    <row r="541">
      <c r="A541" s="26" t="n"/>
      <c r="B541" s="27">
        <f>IF(A541="","",IF(OR(A541&lt;MIN(Lists!$C$4:$C$15),A541&gt;MAX(Lists!$D$4:$D$15)),"No period",INDEX(Lists!$B$4:$B$15,MATCH(A541,Lists!$C$4:$C$15,1))))</f>
        <v/>
      </c>
      <c r="C541" s="28">
        <f>IF(B541="","",IFERROR(INDEX(Lists!$A$4:$A$15,MATCH(B541,Lists!$B$4:$B$15,0)),0))</f>
        <v/>
      </c>
      <c r="D541" s="25" t="n"/>
      <c r="E541" s="24" t="n"/>
      <c r="F541" s="27">
        <f>IF(E541="","",IFERROR(INDEX(Lists!$H$4:$H$40,MATCH(E541,Lists!$F$4:$F$40,0)),"UNMAPPED"))</f>
        <v/>
      </c>
      <c r="G541" s="25" t="n"/>
      <c r="H541" s="25" t="n"/>
      <c r="I541" s="25" t="n"/>
      <c r="J541" s="25" t="n"/>
      <c r="K541" s="25" t="n"/>
      <c r="L541" s="29" t="n"/>
      <c r="M541" s="25" t="n"/>
      <c r="N541" s="30" t="n"/>
      <c r="O541" s="31">
        <f>IF(N541="","",IF(G541="Revenue",ROUND(N541*VATRate,2),0))</f>
        <v/>
      </c>
      <c r="P541" s="31">
        <f>IF(N541="","",N541+O541)</f>
        <v/>
      </c>
    </row>
    <row r="542">
      <c r="A542" s="26" t="n"/>
      <c r="B542" s="27">
        <f>IF(A542="","",IF(OR(A542&lt;MIN(Lists!$C$4:$C$15),A542&gt;MAX(Lists!$D$4:$D$15)),"No period",INDEX(Lists!$B$4:$B$15,MATCH(A542,Lists!$C$4:$C$15,1))))</f>
        <v/>
      </c>
      <c r="C542" s="28">
        <f>IF(B542="","",IFERROR(INDEX(Lists!$A$4:$A$15,MATCH(B542,Lists!$B$4:$B$15,0)),0))</f>
        <v/>
      </c>
      <c r="D542" s="25" t="n"/>
      <c r="E542" s="24" t="n"/>
      <c r="F542" s="27">
        <f>IF(E542="","",IFERROR(INDEX(Lists!$H$4:$H$40,MATCH(E542,Lists!$F$4:$F$40,0)),"UNMAPPED"))</f>
        <v/>
      </c>
      <c r="G542" s="25" t="n"/>
      <c r="H542" s="25" t="n"/>
      <c r="I542" s="25" t="n"/>
      <c r="J542" s="25" t="n"/>
      <c r="K542" s="25" t="n"/>
      <c r="L542" s="29" t="n"/>
      <c r="M542" s="25" t="n"/>
      <c r="N542" s="30" t="n"/>
      <c r="O542" s="31">
        <f>IF(N542="","",IF(G542="Revenue",ROUND(N542*VATRate,2),0))</f>
        <v/>
      </c>
      <c r="P542" s="31">
        <f>IF(N542="","",N542+O542)</f>
        <v/>
      </c>
    </row>
    <row r="543">
      <c r="A543" s="26" t="n"/>
      <c r="B543" s="27">
        <f>IF(A543="","",IF(OR(A543&lt;MIN(Lists!$C$4:$C$15),A543&gt;MAX(Lists!$D$4:$D$15)),"No period",INDEX(Lists!$B$4:$B$15,MATCH(A543,Lists!$C$4:$C$15,1))))</f>
        <v/>
      </c>
      <c r="C543" s="28">
        <f>IF(B543="","",IFERROR(INDEX(Lists!$A$4:$A$15,MATCH(B543,Lists!$B$4:$B$15,0)),0))</f>
        <v/>
      </c>
      <c r="D543" s="25" t="n"/>
      <c r="E543" s="24" t="n"/>
      <c r="F543" s="27">
        <f>IF(E543="","",IFERROR(INDEX(Lists!$H$4:$H$40,MATCH(E543,Lists!$F$4:$F$40,0)),"UNMAPPED"))</f>
        <v/>
      </c>
      <c r="G543" s="25" t="n"/>
      <c r="H543" s="25" t="n"/>
      <c r="I543" s="25" t="n"/>
      <c r="J543" s="25" t="n"/>
      <c r="K543" s="25" t="n"/>
      <c r="L543" s="29" t="n"/>
      <c r="M543" s="25" t="n"/>
      <c r="N543" s="30" t="n"/>
      <c r="O543" s="31">
        <f>IF(N543="","",IF(G543="Revenue",ROUND(N543*VATRate,2),0))</f>
        <v/>
      </c>
      <c r="P543" s="31">
        <f>IF(N543="","",N543+O543)</f>
        <v/>
      </c>
    </row>
    <row r="544">
      <c r="A544" s="26" t="n"/>
      <c r="B544" s="27">
        <f>IF(A544="","",IF(OR(A544&lt;MIN(Lists!$C$4:$C$15),A544&gt;MAX(Lists!$D$4:$D$15)),"No period",INDEX(Lists!$B$4:$B$15,MATCH(A544,Lists!$C$4:$C$15,1))))</f>
        <v/>
      </c>
      <c r="C544" s="28">
        <f>IF(B544="","",IFERROR(INDEX(Lists!$A$4:$A$15,MATCH(B544,Lists!$B$4:$B$15,0)),0))</f>
        <v/>
      </c>
      <c r="D544" s="25" t="n"/>
      <c r="E544" s="24" t="n"/>
      <c r="F544" s="27">
        <f>IF(E544="","",IFERROR(INDEX(Lists!$H$4:$H$40,MATCH(E544,Lists!$F$4:$F$40,0)),"UNMAPPED"))</f>
        <v/>
      </c>
      <c r="G544" s="25" t="n"/>
      <c r="H544" s="25" t="n"/>
      <c r="I544" s="25" t="n"/>
      <c r="J544" s="25" t="n"/>
      <c r="K544" s="25" t="n"/>
      <c r="L544" s="29" t="n"/>
      <c r="M544" s="25" t="n"/>
      <c r="N544" s="30" t="n"/>
      <c r="O544" s="31">
        <f>IF(N544="","",IF(G544="Revenue",ROUND(N544*VATRate,2),0))</f>
        <v/>
      </c>
      <c r="P544" s="31">
        <f>IF(N544="","",N544+O544)</f>
        <v/>
      </c>
    </row>
    <row r="545">
      <c r="A545" s="26" t="n"/>
      <c r="B545" s="27">
        <f>IF(A545="","",IF(OR(A545&lt;MIN(Lists!$C$4:$C$15),A545&gt;MAX(Lists!$D$4:$D$15)),"No period",INDEX(Lists!$B$4:$B$15,MATCH(A545,Lists!$C$4:$C$15,1))))</f>
        <v/>
      </c>
      <c r="C545" s="28">
        <f>IF(B545="","",IFERROR(INDEX(Lists!$A$4:$A$15,MATCH(B545,Lists!$B$4:$B$15,0)),0))</f>
        <v/>
      </c>
      <c r="D545" s="25" t="n"/>
      <c r="E545" s="24" t="n"/>
      <c r="F545" s="27">
        <f>IF(E545="","",IFERROR(INDEX(Lists!$H$4:$H$40,MATCH(E545,Lists!$F$4:$F$40,0)),"UNMAPPED"))</f>
        <v/>
      </c>
      <c r="G545" s="25" t="n"/>
      <c r="H545" s="25" t="n"/>
      <c r="I545" s="25" t="n"/>
      <c r="J545" s="25" t="n"/>
      <c r="K545" s="25" t="n"/>
      <c r="L545" s="29" t="n"/>
      <c r="M545" s="25" t="n"/>
      <c r="N545" s="30" t="n"/>
      <c r="O545" s="31">
        <f>IF(N545="","",IF(G545="Revenue",ROUND(N545*VATRate,2),0))</f>
        <v/>
      </c>
      <c r="P545" s="31">
        <f>IF(N545="","",N545+O545)</f>
        <v/>
      </c>
    </row>
    <row r="546">
      <c r="A546" s="26" t="n"/>
      <c r="B546" s="27">
        <f>IF(A546="","",IF(OR(A546&lt;MIN(Lists!$C$4:$C$15),A546&gt;MAX(Lists!$D$4:$D$15)),"No period",INDEX(Lists!$B$4:$B$15,MATCH(A546,Lists!$C$4:$C$15,1))))</f>
        <v/>
      </c>
      <c r="C546" s="28">
        <f>IF(B546="","",IFERROR(INDEX(Lists!$A$4:$A$15,MATCH(B546,Lists!$B$4:$B$15,0)),0))</f>
        <v/>
      </c>
      <c r="D546" s="25" t="n"/>
      <c r="E546" s="24" t="n"/>
      <c r="F546" s="27">
        <f>IF(E546="","",IFERROR(INDEX(Lists!$H$4:$H$40,MATCH(E546,Lists!$F$4:$F$40,0)),"UNMAPPED"))</f>
        <v/>
      </c>
      <c r="G546" s="25" t="n"/>
      <c r="H546" s="25" t="n"/>
      <c r="I546" s="25" t="n"/>
      <c r="J546" s="25" t="n"/>
      <c r="K546" s="25" t="n"/>
      <c r="L546" s="29" t="n"/>
      <c r="M546" s="25" t="n"/>
      <c r="N546" s="30" t="n"/>
      <c r="O546" s="31">
        <f>IF(N546="","",IF(G546="Revenue",ROUND(N546*VATRate,2),0))</f>
        <v/>
      </c>
      <c r="P546" s="31">
        <f>IF(N546="","",N546+O546)</f>
        <v/>
      </c>
    </row>
    <row r="547">
      <c r="A547" s="26" t="n"/>
      <c r="B547" s="27">
        <f>IF(A547="","",IF(OR(A547&lt;MIN(Lists!$C$4:$C$15),A547&gt;MAX(Lists!$D$4:$D$15)),"No period",INDEX(Lists!$B$4:$B$15,MATCH(A547,Lists!$C$4:$C$15,1))))</f>
        <v/>
      </c>
      <c r="C547" s="28">
        <f>IF(B547="","",IFERROR(INDEX(Lists!$A$4:$A$15,MATCH(B547,Lists!$B$4:$B$15,0)),0))</f>
        <v/>
      </c>
      <c r="D547" s="25" t="n"/>
      <c r="E547" s="24" t="n"/>
      <c r="F547" s="27">
        <f>IF(E547="","",IFERROR(INDEX(Lists!$H$4:$H$40,MATCH(E547,Lists!$F$4:$F$40,0)),"UNMAPPED"))</f>
        <v/>
      </c>
      <c r="G547" s="25" t="n"/>
      <c r="H547" s="25" t="n"/>
      <c r="I547" s="25" t="n"/>
      <c r="J547" s="25" t="n"/>
      <c r="K547" s="25" t="n"/>
      <c r="L547" s="29" t="n"/>
      <c r="M547" s="25" t="n"/>
      <c r="N547" s="30" t="n"/>
      <c r="O547" s="31">
        <f>IF(N547="","",IF(G547="Revenue",ROUND(N547*VATRate,2),0))</f>
        <v/>
      </c>
      <c r="P547" s="31">
        <f>IF(N547="","",N547+O547)</f>
        <v/>
      </c>
    </row>
    <row r="548">
      <c r="A548" s="26" t="n"/>
      <c r="B548" s="27">
        <f>IF(A548="","",IF(OR(A548&lt;MIN(Lists!$C$4:$C$15),A548&gt;MAX(Lists!$D$4:$D$15)),"No period",INDEX(Lists!$B$4:$B$15,MATCH(A548,Lists!$C$4:$C$15,1))))</f>
        <v/>
      </c>
      <c r="C548" s="28">
        <f>IF(B548="","",IFERROR(INDEX(Lists!$A$4:$A$15,MATCH(B548,Lists!$B$4:$B$15,0)),0))</f>
        <v/>
      </c>
      <c r="D548" s="25" t="n"/>
      <c r="E548" s="24" t="n"/>
      <c r="F548" s="27">
        <f>IF(E548="","",IFERROR(INDEX(Lists!$H$4:$H$40,MATCH(E548,Lists!$F$4:$F$40,0)),"UNMAPPED"))</f>
        <v/>
      </c>
      <c r="G548" s="25" t="n"/>
      <c r="H548" s="25" t="n"/>
      <c r="I548" s="25" t="n"/>
      <c r="J548" s="25" t="n"/>
      <c r="K548" s="25" t="n"/>
      <c r="L548" s="29" t="n"/>
      <c r="M548" s="25" t="n"/>
      <c r="N548" s="30" t="n"/>
      <c r="O548" s="31">
        <f>IF(N548="","",IF(G548="Revenue",ROUND(N548*VATRate,2),0))</f>
        <v/>
      </c>
      <c r="P548" s="31">
        <f>IF(N548="","",N548+O548)</f>
        <v/>
      </c>
    </row>
    <row r="549">
      <c r="A549" s="26" t="n"/>
      <c r="B549" s="27">
        <f>IF(A549="","",IF(OR(A549&lt;MIN(Lists!$C$4:$C$15),A549&gt;MAX(Lists!$D$4:$D$15)),"No period",INDEX(Lists!$B$4:$B$15,MATCH(A549,Lists!$C$4:$C$15,1))))</f>
        <v/>
      </c>
      <c r="C549" s="28">
        <f>IF(B549="","",IFERROR(INDEX(Lists!$A$4:$A$15,MATCH(B549,Lists!$B$4:$B$15,0)),0))</f>
        <v/>
      </c>
      <c r="D549" s="25" t="n"/>
      <c r="E549" s="24" t="n"/>
      <c r="F549" s="27">
        <f>IF(E549="","",IFERROR(INDEX(Lists!$H$4:$H$40,MATCH(E549,Lists!$F$4:$F$40,0)),"UNMAPPED"))</f>
        <v/>
      </c>
      <c r="G549" s="25" t="n"/>
      <c r="H549" s="25" t="n"/>
      <c r="I549" s="25" t="n"/>
      <c r="J549" s="25" t="n"/>
      <c r="K549" s="25" t="n"/>
      <c r="L549" s="29" t="n"/>
      <c r="M549" s="25" t="n"/>
      <c r="N549" s="30" t="n"/>
      <c r="O549" s="31">
        <f>IF(N549="","",IF(G549="Revenue",ROUND(N549*VATRate,2),0))</f>
        <v/>
      </c>
      <c r="P549" s="31">
        <f>IF(N549="","",N549+O549)</f>
        <v/>
      </c>
    </row>
    <row r="550">
      <c r="A550" s="26" t="n"/>
      <c r="B550" s="27">
        <f>IF(A550="","",IF(OR(A550&lt;MIN(Lists!$C$4:$C$15),A550&gt;MAX(Lists!$D$4:$D$15)),"No period",INDEX(Lists!$B$4:$B$15,MATCH(A550,Lists!$C$4:$C$15,1))))</f>
        <v/>
      </c>
      <c r="C550" s="28">
        <f>IF(B550="","",IFERROR(INDEX(Lists!$A$4:$A$15,MATCH(B550,Lists!$B$4:$B$15,0)),0))</f>
        <v/>
      </c>
      <c r="D550" s="25" t="n"/>
      <c r="E550" s="24" t="n"/>
      <c r="F550" s="27">
        <f>IF(E550="","",IFERROR(INDEX(Lists!$H$4:$H$40,MATCH(E550,Lists!$F$4:$F$40,0)),"UNMAPPED"))</f>
        <v/>
      </c>
      <c r="G550" s="25" t="n"/>
      <c r="H550" s="25" t="n"/>
      <c r="I550" s="25" t="n"/>
      <c r="J550" s="25" t="n"/>
      <c r="K550" s="25" t="n"/>
      <c r="L550" s="29" t="n"/>
      <c r="M550" s="25" t="n"/>
      <c r="N550" s="30" t="n"/>
      <c r="O550" s="31">
        <f>IF(N550="","",IF(G550="Revenue",ROUND(N550*VATRate,2),0))</f>
        <v/>
      </c>
      <c r="P550" s="31">
        <f>IF(N550="","",N550+O550)</f>
        <v/>
      </c>
    </row>
    <row r="551">
      <c r="A551" s="26" t="n"/>
      <c r="B551" s="27">
        <f>IF(A551="","",IF(OR(A551&lt;MIN(Lists!$C$4:$C$15),A551&gt;MAX(Lists!$D$4:$D$15)),"No period",INDEX(Lists!$B$4:$B$15,MATCH(A551,Lists!$C$4:$C$15,1))))</f>
        <v/>
      </c>
      <c r="C551" s="28">
        <f>IF(B551="","",IFERROR(INDEX(Lists!$A$4:$A$15,MATCH(B551,Lists!$B$4:$B$15,0)),0))</f>
        <v/>
      </c>
      <c r="D551" s="25" t="n"/>
      <c r="E551" s="24" t="n"/>
      <c r="F551" s="27">
        <f>IF(E551="","",IFERROR(INDEX(Lists!$H$4:$H$40,MATCH(E551,Lists!$F$4:$F$40,0)),"UNMAPPED"))</f>
        <v/>
      </c>
      <c r="G551" s="25" t="n"/>
      <c r="H551" s="25" t="n"/>
      <c r="I551" s="25" t="n"/>
      <c r="J551" s="25" t="n"/>
      <c r="K551" s="25" t="n"/>
      <c r="L551" s="29" t="n"/>
      <c r="M551" s="25" t="n"/>
      <c r="N551" s="30" t="n"/>
      <c r="O551" s="31">
        <f>IF(N551="","",IF(G551="Revenue",ROUND(N551*VATRate,2),0))</f>
        <v/>
      </c>
      <c r="P551" s="31">
        <f>IF(N551="","",N551+O551)</f>
        <v/>
      </c>
    </row>
    <row r="552">
      <c r="A552" s="26" t="n"/>
      <c r="B552" s="27">
        <f>IF(A552="","",IF(OR(A552&lt;MIN(Lists!$C$4:$C$15),A552&gt;MAX(Lists!$D$4:$D$15)),"No period",INDEX(Lists!$B$4:$B$15,MATCH(A552,Lists!$C$4:$C$15,1))))</f>
        <v/>
      </c>
      <c r="C552" s="28">
        <f>IF(B552="","",IFERROR(INDEX(Lists!$A$4:$A$15,MATCH(B552,Lists!$B$4:$B$15,0)),0))</f>
        <v/>
      </c>
      <c r="D552" s="25" t="n"/>
      <c r="E552" s="24" t="n"/>
      <c r="F552" s="27">
        <f>IF(E552="","",IFERROR(INDEX(Lists!$H$4:$H$40,MATCH(E552,Lists!$F$4:$F$40,0)),"UNMAPPED"))</f>
        <v/>
      </c>
      <c r="G552" s="25" t="n"/>
      <c r="H552" s="25" t="n"/>
      <c r="I552" s="25" t="n"/>
      <c r="J552" s="25" t="n"/>
      <c r="K552" s="25" t="n"/>
      <c r="L552" s="29" t="n"/>
      <c r="M552" s="25" t="n"/>
      <c r="N552" s="30" t="n"/>
      <c r="O552" s="31">
        <f>IF(N552="","",IF(G552="Revenue",ROUND(N552*VATRate,2),0))</f>
        <v/>
      </c>
      <c r="P552" s="31">
        <f>IF(N552="","",N552+O552)</f>
        <v/>
      </c>
    </row>
    <row r="553">
      <c r="A553" s="26" t="n"/>
      <c r="B553" s="27">
        <f>IF(A553="","",IF(OR(A553&lt;MIN(Lists!$C$4:$C$15),A553&gt;MAX(Lists!$D$4:$D$15)),"No period",INDEX(Lists!$B$4:$B$15,MATCH(A553,Lists!$C$4:$C$15,1))))</f>
        <v/>
      </c>
      <c r="C553" s="28">
        <f>IF(B553="","",IFERROR(INDEX(Lists!$A$4:$A$15,MATCH(B553,Lists!$B$4:$B$15,0)),0))</f>
        <v/>
      </c>
      <c r="D553" s="25" t="n"/>
      <c r="E553" s="24" t="n"/>
      <c r="F553" s="27">
        <f>IF(E553="","",IFERROR(INDEX(Lists!$H$4:$H$40,MATCH(E553,Lists!$F$4:$F$40,0)),"UNMAPPED"))</f>
        <v/>
      </c>
      <c r="G553" s="25" t="n"/>
      <c r="H553" s="25" t="n"/>
      <c r="I553" s="25" t="n"/>
      <c r="J553" s="25" t="n"/>
      <c r="K553" s="25" t="n"/>
      <c r="L553" s="29" t="n"/>
      <c r="M553" s="25" t="n"/>
      <c r="N553" s="30" t="n"/>
      <c r="O553" s="31">
        <f>IF(N553="","",IF(G553="Revenue",ROUND(N553*VATRate,2),0))</f>
        <v/>
      </c>
      <c r="P553" s="31">
        <f>IF(N553="","",N553+O553)</f>
        <v/>
      </c>
    </row>
    <row r="554">
      <c r="A554" s="26" t="n"/>
      <c r="B554" s="27">
        <f>IF(A554="","",IF(OR(A554&lt;MIN(Lists!$C$4:$C$15),A554&gt;MAX(Lists!$D$4:$D$15)),"No period",INDEX(Lists!$B$4:$B$15,MATCH(A554,Lists!$C$4:$C$15,1))))</f>
        <v/>
      </c>
      <c r="C554" s="28">
        <f>IF(B554="","",IFERROR(INDEX(Lists!$A$4:$A$15,MATCH(B554,Lists!$B$4:$B$15,0)),0))</f>
        <v/>
      </c>
      <c r="D554" s="25" t="n"/>
      <c r="E554" s="24" t="n"/>
      <c r="F554" s="27">
        <f>IF(E554="","",IFERROR(INDEX(Lists!$H$4:$H$40,MATCH(E554,Lists!$F$4:$F$40,0)),"UNMAPPED"))</f>
        <v/>
      </c>
      <c r="G554" s="25" t="n"/>
      <c r="H554" s="25" t="n"/>
      <c r="I554" s="25" t="n"/>
      <c r="J554" s="25" t="n"/>
      <c r="K554" s="25" t="n"/>
      <c r="L554" s="29" t="n"/>
      <c r="M554" s="25" t="n"/>
      <c r="N554" s="30" t="n"/>
      <c r="O554" s="31">
        <f>IF(N554="","",IF(G554="Revenue",ROUND(N554*VATRate,2),0))</f>
        <v/>
      </c>
      <c r="P554" s="31">
        <f>IF(N554="","",N554+O554)</f>
        <v/>
      </c>
    </row>
    <row r="555">
      <c r="A555" s="26" t="n"/>
      <c r="B555" s="27">
        <f>IF(A555="","",IF(OR(A555&lt;MIN(Lists!$C$4:$C$15),A555&gt;MAX(Lists!$D$4:$D$15)),"No period",INDEX(Lists!$B$4:$B$15,MATCH(A555,Lists!$C$4:$C$15,1))))</f>
        <v/>
      </c>
      <c r="C555" s="28">
        <f>IF(B555="","",IFERROR(INDEX(Lists!$A$4:$A$15,MATCH(B555,Lists!$B$4:$B$15,0)),0))</f>
        <v/>
      </c>
      <c r="D555" s="25" t="n"/>
      <c r="E555" s="24" t="n"/>
      <c r="F555" s="27">
        <f>IF(E555="","",IFERROR(INDEX(Lists!$H$4:$H$40,MATCH(E555,Lists!$F$4:$F$40,0)),"UNMAPPED"))</f>
        <v/>
      </c>
      <c r="G555" s="25" t="n"/>
      <c r="H555" s="25" t="n"/>
      <c r="I555" s="25" t="n"/>
      <c r="J555" s="25" t="n"/>
      <c r="K555" s="25" t="n"/>
      <c r="L555" s="29" t="n"/>
      <c r="M555" s="25" t="n"/>
      <c r="N555" s="30" t="n"/>
      <c r="O555" s="31">
        <f>IF(N555="","",IF(G555="Revenue",ROUND(N555*VATRate,2),0))</f>
        <v/>
      </c>
      <c r="P555" s="31">
        <f>IF(N555="","",N555+O555)</f>
        <v/>
      </c>
    </row>
    <row r="556">
      <c r="A556" s="26" t="n"/>
      <c r="B556" s="27">
        <f>IF(A556="","",IF(OR(A556&lt;MIN(Lists!$C$4:$C$15),A556&gt;MAX(Lists!$D$4:$D$15)),"No period",INDEX(Lists!$B$4:$B$15,MATCH(A556,Lists!$C$4:$C$15,1))))</f>
        <v/>
      </c>
      <c r="C556" s="28">
        <f>IF(B556="","",IFERROR(INDEX(Lists!$A$4:$A$15,MATCH(B556,Lists!$B$4:$B$15,0)),0))</f>
        <v/>
      </c>
      <c r="D556" s="25" t="n"/>
      <c r="E556" s="24" t="n"/>
      <c r="F556" s="27">
        <f>IF(E556="","",IFERROR(INDEX(Lists!$H$4:$H$40,MATCH(E556,Lists!$F$4:$F$40,0)),"UNMAPPED"))</f>
        <v/>
      </c>
      <c r="G556" s="25" t="n"/>
      <c r="H556" s="25" t="n"/>
      <c r="I556" s="25" t="n"/>
      <c r="J556" s="25" t="n"/>
      <c r="K556" s="25" t="n"/>
      <c r="L556" s="29" t="n"/>
      <c r="M556" s="25" t="n"/>
      <c r="N556" s="30" t="n"/>
      <c r="O556" s="31">
        <f>IF(N556="","",IF(G556="Revenue",ROUND(N556*VATRate,2),0))</f>
        <v/>
      </c>
      <c r="P556" s="31">
        <f>IF(N556="","",N556+O556)</f>
        <v/>
      </c>
    </row>
    <row r="557">
      <c r="A557" s="26" t="n"/>
      <c r="B557" s="27">
        <f>IF(A557="","",IF(OR(A557&lt;MIN(Lists!$C$4:$C$15),A557&gt;MAX(Lists!$D$4:$D$15)),"No period",INDEX(Lists!$B$4:$B$15,MATCH(A557,Lists!$C$4:$C$15,1))))</f>
        <v/>
      </c>
      <c r="C557" s="28">
        <f>IF(B557="","",IFERROR(INDEX(Lists!$A$4:$A$15,MATCH(B557,Lists!$B$4:$B$15,0)),0))</f>
        <v/>
      </c>
      <c r="D557" s="25" t="n"/>
      <c r="E557" s="24" t="n"/>
      <c r="F557" s="27">
        <f>IF(E557="","",IFERROR(INDEX(Lists!$H$4:$H$40,MATCH(E557,Lists!$F$4:$F$40,0)),"UNMAPPED"))</f>
        <v/>
      </c>
      <c r="G557" s="25" t="n"/>
      <c r="H557" s="25" t="n"/>
      <c r="I557" s="25" t="n"/>
      <c r="J557" s="25" t="n"/>
      <c r="K557" s="25" t="n"/>
      <c r="L557" s="29" t="n"/>
      <c r="M557" s="25" t="n"/>
      <c r="N557" s="30" t="n"/>
      <c r="O557" s="31">
        <f>IF(N557="","",IF(G557="Revenue",ROUND(N557*VATRate,2),0))</f>
        <v/>
      </c>
      <c r="P557" s="31">
        <f>IF(N557="","",N557+O557)</f>
        <v/>
      </c>
    </row>
    <row r="558">
      <c r="A558" s="26" t="n"/>
      <c r="B558" s="27">
        <f>IF(A558="","",IF(OR(A558&lt;MIN(Lists!$C$4:$C$15),A558&gt;MAX(Lists!$D$4:$D$15)),"No period",INDEX(Lists!$B$4:$B$15,MATCH(A558,Lists!$C$4:$C$15,1))))</f>
        <v/>
      </c>
      <c r="C558" s="28">
        <f>IF(B558="","",IFERROR(INDEX(Lists!$A$4:$A$15,MATCH(B558,Lists!$B$4:$B$15,0)),0))</f>
        <v/>
      </c>
      <c r="D558" s="25" t="n"/>
      <c r="E558" s="24" t="n"/>
      <c r="F558" s="27">
        <f>IF(E558="","",IFERROR(INDEX(Lists!$H$4:$H$40,MATCH(E558,Lists!$F$4:$F$40,0)),"UNMAPPED"))</f>
        <v/>
      </c>
      <c r="G558" s="25" t="n"/>
      <c r="H558" s="25" t="n"/>
      <c r="I558" s="25" t="n"/>
      <c r="J558" s="25" t="n"/>
      <c r="K558" s="25" t="n"/>
      <c r="L558" s="29" t="n"/>
      <c r="M558" s="25" t="n"/>
      <c r="N558" s="30" t="n"/>
      <c r="O558" s="31">
        <f>IF(N558="","",IF(G558="Revenue",ROUND(N558*VATRate,2),0))</f>
        <v/>
      </c>
      <c r="P558" s="31">
        <f>IF(N558="","",N558+O558)</f>
        <v/>
      </c>
    </row>
    <row r="559">
      <c r="A559" s="26" t="n"/>
      <c r="B559" s="27">
        <f>IF(A559="","",IF(OR(A559&lt;MIN(Lists!$C$4:$C$15),A559&gt;MAX(Lists!$D$4:$D$15)),"No period",INDEX(Lists!$B$4:$B$15,MATCH(A559,Lists!$C$4:$C$15,1))))</f>
        <v/>
      </c>
      <c r="C559" s="28">
        <f>IF(B559="","",IFERROR(INDEX(Lists!$A$4:$A$15,MATCH(B559,Lists!$B$4:$B$15,0)),0))</f>
        <v/>
      </c>
      <c r="D559" s="25" t="n"/>
      <c r="E559" s="24" t="n"/>
      <c r="F559" s="27">
        <f>IF(E559="","",IFERROR(INDEX(Lists!$H$4:$H$40,MATCH(E559,Lists!$F$4:$F$40,0)),"UNMAPPED"))</f>
        <v/>
      </c>
      <c r="G559" s="25" t="n"/>
      <c r="H559" s="25" t="n"/>
      <c r="I559" s="25" t="n"/>
      <c r="J559" s="25" t="n"/>
      <c r="K559" s="25" t="n"/>
      <c r="L559" s="29" t="n"/>
      <c r="M559" s="25" t="n"/>
      <c r="N559" s="30" t="n"/>
      <c r="O559" s="31">
        <f>IF(N559="","",IF(G559="Revenue",ROUND(N559*VATRate,2),0))</f>
        <v/>
      </c>
      <c r="P559" s="31">
        <f>IF(N559="","",N559+O559)</f>
        <v/>
      </c>
    </row>
    <row r="560">
      <c r="A560" s="26" t="n"/>
      <c r="B560" s="27">
        <f>IF(A560="","",IF(OR(A560&lt;MIN(Lists!$C$4:$C$15),A560&gt;MAX(Lists!$D$4:$D$15)),"No period",INDEX(Lists!$B$4:$B$15,MATCH(A560,Lists!$C$4:$C$15,1))))</f>
        <v/>
      </c>
      <c r="C560" s="28">
        <f>IF(B560="","",IFERROR(INDEX(Lists!$A$4:$A$15,MATCH(B560,Lists!$B$4:$B$15,0)),0))</f>
        <v/>
      </c>
      <c r="D560" s="25" t="n"/>
      <c r="E560" s="24" t="n"/>
      <c r="F560" s="27">
        <f>IF(E560="","",IFERROR(INDEX(Lists!$H$4:$H$40,MATCH(E560,Lists!$F$4:$F$40,0)),"UNMAPPED"))</f>
        <v/>
      </c>
      <c r="G560" s="25" t="n"/>
      <c r="H560" s="25" t="n"/>
      <c r="I560" s="25" t="n"/>
      <c r="J560" s="25" t="n"/>
      <c r="K560" s="25" t="n"/>
      <c r="L560" s="29" t="n"/>
      <c r="M560" s="25" t="n"/>
      <c r="N560" s="30" t="n"/>
      <c r="O560" s="31">
        <f>IF(N560="","",IF(G560="Revenue",ROUND(N560*VATRate,2),0))</f>
        <v/>
      </c>
      <c r="P560" s="31">
        <f>IF(N560="","",N560+O560)</f>
        <v/>
      </c>
    </row>
    <row r="561">
      <c r="A561" s="26" t="n"/>
      <c r="B561" s="27">
        <f>IF(A561="","",IF(OR(A561&lt;MIN(Lists!$C$4:$C$15),A561&gt;MAX(Lists!$D$4:$D$15)),"No period",INDEX(Lists!$B$4:$B$15,MATCH(A561,Lists!$C$4:$C$15,1))))</f>
        <v/>
      </c>
      <c r="C561" s="28">
        <f>IF(B561="","",IFERROR(INDEX(Lists!$A$4:$A$15,MATCH(B561,Lists!$B$4:$B$15,0)),0))</f>
        <v/>
      </c>
      <c r="D561" s="25" t="n"/>
      <c r="E561" s="24" t="n"/>
      <c r="F561" s="27">
        <f>IF(E561="","",IFERROR(INDEX(Lists!$H$4:$H$40,MATCH(E561,Lists!$F$4:$F$40,0)),"UNMAPPED"))</f>
        <v/>
      </c>
      <c r="G561" s="25" t="n"/>
      <c r="H561" s="25" t="n"/>
      <c r="I561" s="25" t="n"/>
      <c r="J561" s="25" t="n"/>
      <c r="K561" s="25" t="n"/>
      <c r="L561" s="29" t="n"/>
      <c r="M561" s="25" t="n"/>
      <c r="N561" s="30" t="n"/>
      <c r="O561" s="31">
        <f>IF(N561="","",IF(G561="Revenue",ROUND(N561*VATRate,2),0))</f>
        <v/>
      </c>
      <c r="P561" s="31">
        <f>IF(N561="","",N561+O561)</f>
        <v/>
      </c>
    </row>
    <row r="562">
      <c r="A562" s="26" t="n"/>
      <c r="B562" s="27">
        <f>IF(A562="","",IF(OR(A562&lt;MIN(Lists!$C$4:$C$15),A562&gt;MAX(Lists!$D$4:$D$15)),"No period",INDEX(Lists!$B$4:$B$15,MATCH(A562,Lists!$C$4:$C$15,1))))</f>
        <v/>
      </c>
      <c r="C562" s="28">
        <f>IF(B562="","",IFERROR(INDEX(Lists!$A$4:$A$15,MATCH(B562,Lists!$B$4:$B$15,0)),0))</f>
        <v/>
      </c>
      <c r="D562" s="25" t="n"/>
      <c r="E562" s="24" t="n"/>
      <c r="F562" s="27">
        <f>IF(E562="","",IFERROR(INDEX(Lists!$H$4:$H$40,MATCH(E562,Lists!$F$4:$F$40,0)),"UNMAPPED"))</f>
        <v/>
      </c>
      <c r="G562" s="25" t="n"/>
      <c r="H562" s="25" t="n"/>
      <c r="I562" s="25" t="n"/>
      <c r="J562" s="25" t="n"/>
      <c r="K562" s="25" t="n"/>
      <c r="L562" s="29" t="n"/>
      <c r="M562" s="25" t="n"/>
      <c r="N562" s="30" t="n"/>
      <c r="O562" s="31">
        <f>IF(N562="","",IF(G562="Revenue",ROUND(N562*VATRate,2),0))</f>
        <v/>
      </c>
      <c r="P562" s="31">
        <f>IF(N562="","",N562+O562)</f>
        <v/>
      </c>
    </row>
    <row r="563">
      <c r="A563" s="26" t="n"/>
      <c r="B563" s="27">
        <f>IF(A563="","",IF(OR(A563&lt;MIN(Lists!$C$4:$C$15),A563&gt;MAX(Lists!$D$4:$D$15)),"No period",INDEX(Lists!$B$4:$B$15,MATCH(A563,Lists!$C$4:$C$15,1))))</f>
        <v/>
      </c>
      <c r="C563" s="28">
        <f>IF(B563="","",IFERROR(INDEX(Lists!$A$4:$A$15,MATCH(B563,Lists!$B$4:$B$15,0)),0))</f>
        <v/>
      </c>
      <c r="D563" s="25" t="n"/>
      <c r="E563" s="24" t="n"/>
      <c r="F563" s="27">
        <f>IF(E563="","",IFERROR(INDEX(Lists!$H$4:$H$40,MATCH(E563,Lists!$F$4:$F$40,0)),"UNMAPPED"))</f>
        <v/>
      </c>
      <c r="G563" s="25" t="n"/>
      <c r="H563" s="25" t="n"/>
      <c r="I563" s="25" t="n"/>
      <c r="J563" s="25" t="n"/>
      <c r="K563" s="25" t="n"/>
      <c r="L563" s="29" t="n"/>
      <c r="M563" s="25" t="n"/>
      <c r="N563" s="30" t="n"/>
      <c r="O563" s="31">
        <f>IF(N563="","",IF(G563="Revenue",ROUND(N563*VATRate,2),0))</f>
        <v/>
      </c>
      <c r="P563" s="31">
        <f>IF(N563="","",N563+O563)</f>
        <v/>
      </c>
    </row>
    <row r="564">
      <c r="A564" s="26" t="n"/>
      <c r="B564" s="27">
        <f>IF(A564="","",IF(OR(A564&lt;MIN(Lists!$C$4:$C$15),A564&gt;MAX(Lists!$D$4:$D$15)),"No period",INDEX(Lists!$B$4:$B$15,MATCH(A564,Lists!$C$4:$C$15,1))))</f>
        <v/>
      </c>
      <c r="C564" s="28">
        <f>IF(B564="","",IFERROR(INDEX(Lists!$A$4:$A$15,MATCH(B564,Lists!$B$4:$B$15,0)),0))</f>
        <v/>
      </c>
      <c r="D564" s="25" t="n"/>
      <c r="E564" s="24" t="n"/>
      <c r="F564" s="27">
        <f>IF(E564="","",IFERROR(INDEX(Lists!$H$4:$H$40,MATCH(E564,Lists!$F$4:$F$40,0)),"UNMAPPED"))</f>
        <v/>
      </c>
      <c r="G564" s="25" t="n"/>
      <c r="H564" s="25" t="n"/>
      <c r="I564" s="25" t="n"/>
      <c r="J564" s="25" t="n"/>
      <c r="K564" s="25" t="n"/>
      <c r="L564" s="29" t="n"/>
      <c r="M564" s="25" t="n"/>
      <c r="N564" s="30" t="n"/>
      <c r="O564" s="31">
        <f>IF(N564="","",IF(G564="Revenue",ROUND(N564*VATRate,2),0))</f>
        <v/>
      </c>
      <c r="P564" s="31">
        <f>IF(N564="","",N564+O564)</f>
        <v/>
      </c>
    </row>
    <row r="565">
      <c r="A565" s="26" t="n"/>
      <c r="B565" s="27">
        <f>IF(A565="","",IF(OR(A565&lt;MIN(Lists!$C$4:$C$15),A565&gt;MAX(Lists!$D$4:$D$15)),"No period",INDEX(Lists!$B$4:$B$15,MATCH(A565,Lists!$C$4:$C$15,1))))</f>
        <v/>
      </c>
      <c r="C565" s="28">
        <f>IF(B565="","",IFERROR(INDEX(Lists!$A$4:$A$15,MATCH(B565,Lists!$B$4:$B$15,0)),0))</f>
        <v/>
      </c>
      <c r="D565" s="25" t="n"/>
      <c r="E565" s="24" t="n"/>
      <c r="F565" s="27">
        <f>IF(E565="","",IFERROR(INDEX(Lists!$H$4:$H$40,MATCH(E565,Lists!$F$4:$F$40,0)),"UNMAPPED"))</f>
        <v/>
      </c>
      <c r="G565" s="25" t="n"/>
      <c r="H565" s="25" t="n"/>
      <c r="I565" s="25" t="n"/>
      <c r="J565" s="25" t="n"/>
      <c r="K565" s="25" t="n"/>
      <c r="L565" s="29" t="n"/>
      <c r="M565" s="25" t="n"/>
      <c r="N565" s="30" t="n"/>
      <c r="O565" s="31">
        <f>IF(N565="","",IF(G565="Revenue",ROUND(N565*VATRate,2),0))</f>
        <v/>
      </c>
      <c r="P565" s="31">
        <f>IF(N565="","",N565+O565)</f>
        <v/>
      </c>
    </row>
    <row r="566">
      <c r="A566" s="26" t="n"/>
      <c r="B566" s="27">
        <f>IF(A566="","",IF(OR(A566&lt;MIN(Lists!$C$4:$C$15),A566&gt;MAX(Lists!$D$4:$D$15)),"No period",INDEX(Lists!$B$4:$B$15,MATCH(A566,Lists!$C$4:$C$15,1))))</f>
        <v/>
      </c>
      <c r="C566" s="28">
        <f>IF(B566="","",IFERROR(INDEX(Lists!$A$4:$A$15,MATCH(B566,Lists!$B$4:$B$15,0)),0))</f>
        <v/>
      </c>
      <c r="D566" s="25" t="n"/>
      <c r="E566" s="24" t="n"/>
      <c r="F566" s="27">
        <f>IF(E566="","",IFERROR(INDEX(Lists!$H$4:$H$40,MATCH(E566,Lists!$F$4:$F$40,0)),"UNMAPPED"))</f>
        <v/>
      </c>
      <c r="G566" s="25" t="n"/>
      <c r="H566" s="25" t="n"/>
      <c r="I566" s="25" t="n"/>
      <c r="J566" s="25" t="n"/>
      <c r="K566" s="25" t="n"/>
      <c r="L566" s="29" t="n"/>
      <c r="M566" s="25" t="n"/>
      <c r="N566" s="30" t="n"/>
      <c r="O566" s="31">
        <f>IF(N566="","",IF(G566="Revenue",ROUND(N566*VATRate,2),0))</f>
        <v/>
      </c>
      <c r="P566" s="31">
        <f>IF(N566="","",N566+O566)</f>
        <v/>
      </c>
    </row>
    <row r="567">
      <c r="A567" s="26" t="n"/>
      <c r="B567" s="27">
        <f>IF(A567="","",IF(OR(A567&lt;MIN(Lists!$C$4:$C$15),A567&gt;MAX(Lists!$D$4:$D$15)),"No period",INDEX(Lists!$B$4:$B$15,MATCH(A567,Lists!$C$4:$C$15,1))))</f>
        <v/>
      </c>
      <c r="C567" s="28">
        <f>IF(B567="","",IFERROR(INDEX(Lists!$A$4:$A$15,MATCH(B567,Lists!$B$4:$B$15,0)),0))</f>
        <v/>
      </c>
      <c r="D567" s="25" t="n"/>
      <c r="E567" s="24" t="n"/>
      <c r="F567" s="27">
        <f>IF(E567="","",IFERROR(INDEX(Lists!$H$4:$H$40,MATCH(E567,Lists!$F$4:$F$40,0)),"UNMAPPED"))</f>
        <v/>
      </c>
      <c r="G567" s="25" t="n"/>
      <c r="H567" s="25" t="n"/>
      <c r="I567" s="25" t="n"/>
      <c r="J567" s="25" t="n"/>
      <c r="K567" s="25" t="n"/>
      <c r="L567" s="29" t="n"/>
      <c r="M567" s="25" t="n"/>
      <c r="N567" s="30" t="n"/>
      <c r="O567" s="31">
        <f>IF(N567="","",IF(G567="Revenue",ROUND(N567*VATRate,2),0))</f>
        <v/>
      </c>
      <c r="P567" s="31">
        <f>IF(N567="","",N567+O567)</f>
        <v/>
      </c>
    </row>
    <row r="568">
      <c r="A568" s="26" t="n"/>
      <c r="B568" s="27">
        <f>IF(A568="","",IF(OR(A568&lt;MIN(Lists!$C$4:$C$15),A568&gt;MAX(Lists!$D$4:$D$15)),"No period",INDEX(Lists!$B$4:$B$15,MATCH(A568,Lists!$C$4:$C$15,1))))</f>
        <v/>
      </c>
      <c r="C568" s="28">
        <f>IF(B568="","",IFERROR(INDEX(Lists!$A$4:$A$15,MATCH(B568,Lists!$B$4:$B$15,0)),0))</f>
        <v/>
      </c>
      <c r="D568" s="25" t="n"/>
      <c r="E568" s="24" t="n"/>
      <c r="F568" s="27">
        <f>IF(E568="","",IFERROR(INDEX(Lists!$H$4:$H$40,MATCH(E568,Lists!$F$4:$F$40,0)),"UNMAPPED"))</f>
        <v/>
      </c>
      <c r="G568" s="25" t="n"/>
      <c r="H568" s="25" t="n"/>
      <c r="I568" s="25" t="n"/>
      <c r="J568" s="25" t="n"/>
      <c r="K568" s="25" t="n"/>
      <c r="L568" s="29" t="n"/>
      <c r="M568" s="25" t="n"/>
      <c r="N568" s="30" t="n"/>
      <c r="O568" s="31">
        <f>IF(N568="","",IF(G568="Revenue",ROUND(N568*VATRate,2),0))</f>
        <v/>
      </c>
      <c r="P568" s="31">
        <f>IF(N568="","",N568+O568)</f>
        <v/>
      </c>
    </row>
    <row r="569">
      <c r="A569" s="26" t="n"/>
      <c r="B569" s="27">
        <f>IF(A569="","",IF(OR(A569&lt;MIN(Lists!$C$4:$C$15),A569&gt;MAX(Lists!$D$4:$D$15)),"No period",INDEX(Lists!$B$4:$B$15,MATCH(A569,Lists!$C$4:$C$15,1))))</f>
        <v/>
      </c>
      <c r="C569" s="28">
        <f>IF(B569="","",IFERROR(INDEX(Lists!$A$4:$A$15,MATCH(B569,Lists!$B$4:$B$15,0)),0))</f>
        <v/>
      </c>
      <c r="D569" s="25" t="n"/>
      <c r="E569" s="24" t="n"/>
      <c r="F569" s="27">
        <f>IF(E569="","",IFERROR(INDEX(Lists!$H$4:$H$40,MATCH(E569,Lists!$F$4:$F$40,0)),"UNMAPPED"))</f>
        <v/>
      </c>
      <c r="G569" s="25" t="n"/>
      <c r="H569" s="25" t="n"/>
      <c r="I569" s="25" t="n"/>
      <c r="J569" s="25" t="n"/>
      <c r="K569" s="25" t="n"/>
      <c r="L569" s="29" t="n"/>
      <c r="M569" s="25" t="n"/>
      <c r="N569" s="30" t="n"/>
      <c r="O569" s="31">
        <f>IF(N569="","",IF(G569="Revenue",ROUND(N569*VATRate,2),0))</f>
        <v/>
      </c>
      <c r="P569" s="31">
        <f>IF(N569="","",N569+O569)</f>
        <v/>
      </c>
    </row>
    <row r="570">
      <c r="A570" s="26" t="n"/>
      <c r="B570" s="27">
        <f>IF(A570="","",IF(OR(A570&lt;MIN(Lists!$C$4:$C$15),A570&gt;MAX(Lists!$D$4:$D$15)),"No period",INDEX(Lists!$B$4:$B$15,MATCH(A570,Lists!$C$4:$C$15,1))))</f>
        <v/>
      </c>
      <c r="C570" s="28">
        <f>IF(B570="","",IFERROR(INDEX(Lists!$A$4:$A$15,MATCH(B570,Lists!$B$4:$B$15,0)),0))</f>
        <v/>
      </c>
      <c r="D570" s="25" t="n"/>
      <c r="E570" s="24" t="n"/>
      <c r="F570" s="27">
        <f>IF(E570="","",IFERROR(INDEX(Lists!$H$4:$H$40,MATCH(E570,Lists!$F$4:$F$40,0)),"UNMAPPED"))</f>
        <v/>
      </c>
      <c r="G570" s="25" t="n"/>
      <c r="H570" s="25" t="n"/>
      <c r="I570" s="25" t="n"/>
      <c r="J570" s="25" t="n"/>
      <c r="K570" s="25" t="n"/>
      <c r="L570" s="29" t="n"/>
      <c r="M570" s="25" t="n"/>
      <c r="N570" s="30" t="n"/>
      <c r="O570" s="31">
        <f>IF(N570="","",IF(G570="Revenue",ROUND(N570*VATRate,2),0))</f>
        <v/>
      </c>
      <c r="P570" s="31">
        <f>IF(N570="","",N570+O570)</f>
        <v/>
      </c>
    </row>
    <row r="571">
      <c r="A571" s="26" t="n"/>
      <c r="B571" s="27">
        <f>IF(A571="","",IF(OR(A571&lt;MIN(Lists!$C$4:$C$15),A571&gt;MAX(Lists!$D$4:$D$15)),"No period",INDEX(Lists!$B$4:$B$15,MATCH(A571,Lists!$C$4:$C$15,1))))</f>
        <v/>
      </c>
      <c r="C571" s="28">
        <f>IF(B571="","",IFERROR(INDEX(Lists!$A$4:$A$15,MATCH(B571,Lists!$B$4:$B$15,0)),0))</f>
        <v/>
      </c>
      <c r="D571" s="25" t="n"/>
      <c r="E571" s="24" t="n"/>
      <c r="F571" s="27">
        <f>IF(E571="","",IFERROR(INDEX(Lists!$H$4:$H$40,MATCH(E571,Lists!$F$4:$F$40,0)),"UNMAPPED"))</f>
        <v/>
      </c>
      <c r="G571" s="25" t="n"/>
      <c r="H571" s="25" t="n"/>
      <c r="I571" s="25" t="n"/>
      <c r="J571" s="25" t="n"/>
      <c r="K571" s="25" t="n"/>
      <c r="L571" s="29" t="n"/>
      <c r="M571" s="25" t="n"/>
      <c r="N571" s="30" t="n"/>
      <c r="O571" s="31">
        <f>IF(N571="","",IF(G571="Revenue",ROUND(N571*VATRate,2),0))</f>
        <v/>
      </c>
      <c r="P571" s="31">
        <f>IF(N571="","",N571+O571)</f>
        <v/>
      </c>
    </row>
    <row r="572">
      <c r="A572" s="26" t="n"/>
      <c r="B572" s="27">
        <f>IF(A572="","",IF(OR(A572&lt;MIN(Lists!$C$4:$C$15),A572&gt;MAX(Lists!$D$4:$D$15)),"No period",INDEX(Lists!$B$4:$B$15,MATCH(A572,Lists!$C$4:$C$15,1))))</f>
        <v/>
      </c>
      <c r="C572" s="28">
        <f>IF(B572="","",IFERROR(INDEX(Lists!$A$4:$A$15,MATCH(B572,Lists!$B$4:$B$15,0)),0))</f>
        <v/>
      </c>
      <c r="D572" s="25" t="n"/>
      <c r="E572" s="24" t="n"/>
      <c r="F572" s="27">
        <f>IF(E572="","",IFERROR(INDEX(Lists!$H$4:$H$40,MATCH(E572,Lists!$F$4:$F$40,0)),"UNMAPPED"))</f>
        <v/>
      </c>
      <c r="G572" s="25" t="n"/>
      <c r="H572" s="25" t="n"/>
      <c r="I572" s="25" t="n"/>
      <c r="J572" s="25" t="n"/>
      <c r="K572" s="25" t="n"/>
      <c r="L572" s="29" t="n"/>
      <c r="M572" s="25" t="n"/>
      <c r="N572" s="30" t="n"/>
      <c r="O572" s="31">
        <f>IF(N572="","",IF(G572="Revenue",ROUND(N572*VATRate,2),0))</f>
        <v/>
      </c>
      <c r="P572" s="31">
        <f>IF(N572="","",N572+O572)</f>
        <v/>
      </c>
    </row>
    <row r="573">
      <c r="A573" s="26" t="n"/>
      <c r="B573" s="27">
        <f>IF(A573="","",IF(OR(A573&lt;MIN(Lists!$C$4:$C$15),A573&gt;MAX(Lists!$D$4:$D$15)),"No period",INDEX(Lists!$B$4:$B$15,MATCH(A573,Lists!$C$4:$C$15,1))))</f>
        <v/>
      </c>
      <c r="C573" s="28">
        <f>IF(B573="","",IFERROR(INDEX(Lists!$A$4:$A$15,MATCH(B573,Lists!$B$4:$B$15,0)),0))</f>
        <v/>
      </c>
      <c r="D573" s="25" t="n"/>
      <c r="E573" s="24" t="n"/>
      <c r="F573" s="27">
        <f>IF(E573="","",IFERROR(INDEX(Lists!$H$4:$H$40,MATCH(E573,Lists!$F$4:$F$40,0)),"UNMAPPED"))</f>
        <v/>
      </c>
      <c r="G573" s="25" t="n"/>
      <c r="H573" s="25" t="n"/>
      <c r="I573" s="25" t="n"/>
      <c r="J573" s="25" t="n"/>
      <c r="K573" s="25" t="n"/>
      <c r="L573" s="29" t="n"/>
      <c r="M573" s="25" t="n"/>
      <c r="N573" s="30" t="n"/>
      <c r="O573" s="31">
        <f>IF(N573="","",IF(G573="Revenue",ROUND(N573*VATRate,2),0))</f>
        <v/>
      </c>
      <c r="P573" s="31">
        <f>IF(N573="","",N573+O573)</f>
        <v/>
      </c>
    </row>
    <row r="574">
      <c r="A574" s="26" t="n"/>
      <c r="B574" s="27">
        <f>IF(A574="","",IF(OR(A574&lt;MIN(Lists!$C$4:$C$15),A574&gt;MAX(Lists!$D$4:$D$15)),"No period",INDEX(Lists!$B$4:$B$15,MATCH(A574,Lists!$C$4:$C$15,1))))</f>
        <v/>
      </c>
      <c r="C574" s="28">
        <f>IF(B574="","",IFERROR(INDEX(Lists!$A$4:$A$15,MATCH(B574,Lists!$B$4:$B$15,0)),0))</f>
        <v/>
      </c>
      <c r="D574" s="25" t="n"/>
      <c r="E574" s="24" t="n"/>
      <c r="F574" s="27">
        <f>IF(E574="","",IFERROR(INDEX(Lists!$H$4:$H$40,MATCH(E574,Lists!$F$4:$F$40,0)),"UNMAPPED"))</f>
        <v/>
      </c>
      <c r="G574" s="25" t="n"/>
      <c r="H574" s="25" t="n"/>
      <c r="I574" s="25" t="n"/>
      <c r="J574" s="25" t="n"/>
      <c r="K574" s="25" t="n"/>
      <c r="L574" s="29" t="n"/>
      <c r="M574" s="25" t="n"/>
      <c r="N574" s="30" t="n"/>
      <c r="O574" s="31">
        <f>IF(N574="","",IF(G574="Revenue",ROUND(N574*VATRate,2),0))</f>
        <v/>
      </c>
      <c r="P574" s="31">
        <f>IF(N574="","",N574+O574)</f>
        <v/>
      </c>
    </row>
    <row r="575">
      <c r="A575" s="26" t="n"/>
      <c r="B575" s="27">
        <f>IF(A575="","",IF(OR(A575&lt;MIN(Lists!$C$4:$C$15),A575&gt;MAX(Lists!$D$4:$D$15)),"No period",INDEX(Lists!$B$4:$B$15,MATCH(A575,Lists!$C$4:$C$15,1))))</f>
        <v/>
      </c>
      <c r="C575" s="28">
        <f>IF(B575="","",IFERROR(INDEX(Lists!$A$4:$A$15,MATCH(B575,Lists!$B$4:$B$15,0)),0))</f>
        <v/>
      </c>
      <c r="D575" s="25" t="n"/>
      <c r="E575" s="24" t="n"/>
      <c r="F575" s="27">
        <f>IF(E575="","",IFERROR(INDEX(Lists!$H$4:$H$40,MATCH(E575,Lists!$F$4:$F$40,0)),"UNMAPPED"))</f>
        <v/>
      </c>
      <c r="G575" s="25" t="n"/>
      <c r="H575" s="25" t="n"/>
      <c r="I575" s="25" t="n"/>
      <c r="J575" s="25" t="n"/>
      <c r="K575" s="25" t="n"/>
      <c r="L575" s="29" t="n"/>
      <c r="M575" s="25" t="n"/>
      <c r="N575" s="30" t="n"/>
      <c r="O575" s="31">
        <f>IF(N575="","",IF(G575="Revenue",ROUND(N575*VATRate,2),0))</f>
        <v/>
      </c>
      <c r="P575" s="31">
        <f>IF(N575="","",N575+O575)</f>
        <v/>
      </c>
    </row>
    <row r="576">
      <c r="A576" s="26" t="n"/>
      <c r="B576" s="27">
        <f>IF(A576="","",IF(OR(A576&lt;MIN(Lists!$C$4:$C$15),A576&gt;MAX(Lists!$D$4:$D$15)),"No period",INDEX(Lists!$B$4:$B$15,MATCH(A576,Lists!$C$4:$C$15,1))))</f>
        <v/>
      </c>
      <c r="C576" s="28">
        <f>IF(B576="","",IFERROR(INDEX(Lists!$A$4:$A$15,MATCH(B576,Lists!$B$4:$B$15,0)),0))</f>
        <v/>
      </c>
      <c r="D576" s="25" t="n"/>
      <c r="E576" s="24" t="n"/>
      <c r="F576" s="27">
        <f>IF(E576="","",IFERROR(INDEX(Lists!$H$4:$H$40,MATCH(E576,Lists!$F$4:$F$40,0)),"UNMAPPED"))</f>
        <v/>
      </c>
      <c r="G576" s="25" t="n"/>
      <c r="H576" s="25" t="n"/>
      <c r="I576" s="25" t="n"/>
      <c r="J576" s="25" t="n"/>
      <c r="K576" s="25" t="n"/>
      <c r="L576" s="29" t="n"/>
      <c r="M576" s="25" t="n"/>
      <c r="N576" s="30" t="n"/>
      <c r="O576" s="31">
        <f>IF(N576="","",IF(G576="Revenue",ROUND(N576*VATRate,2),0))</f>
        <v/>
      </c>
      <c r="P576" s="31">
        <f>IF(N576="","",N576+O576)</f>
        <v/>
      </c>
    </row>
    <row r="577">
      <c r="A577" s="26" t="n"/>
      <c r="B577" s="27">
        <f>IF(A577="","",IF(OR(A577&lt;MIN(Lists!$C$4:$C$15),A577&gt;MAX(Lists!$D$4:$D$15)),"No period",INDEX(Lists!$B$4:$B$15,MATCH(A577,Lists!$C$4:$C$15,1))))</f>
        <v/>
      </c>
      <c r="C577" s="28">
        <f>IF(B577="","",IFERROR(INDEX(Lists!$A$4:$A$15,MATCH(B577,Lists!$B$4:$B$15,0)),0))</f>
        <v/>
      </c>
      <c r="D577" s="25" t="n"/>
      <c r="E577" s="24" t="n"/>
      <c r="F577" s="27">
        <f>IF(E577="","",IFERROR(INDEX(Lists!$H$4:$H$40,MATCH(E577,Lists!$F$4:$F$40,0)),"UNMAPPED"))</f>
        <v/>
      </c>
      <c r="G577" s="25" t="n"/>
      <c r="H577" s="25" t="n"/>
      <c r="I577" s="25" t="n"/>
      <c r="J577" s="25" t="n"/>
      <c r="K577" s="25" t="n"/>
      <c r="L577" s="29" t="n"/>
      <c r="M577" s="25" t="n"/>
      <c r="N577" s="30" t="n"/>
      <c r="O577" s="31">
        <f>IF(N577="","",IF(G577="Revenue",ROUND(N577*VATRate,2),0))</f>
        <v/>
      </c>
      <c r="P577" s="31">
        <f>IF(N577="","",N577+O577)</f>
        <v/>
      </c>
    </row>
    <row r="578">
      <c r="A578" s="26" t="n"/>
      <c r="B578" s="27">
        <f>IF(A578="","",IF(OR(A578&lt;MIN(Lists!$C$4:$C$15),A578&gt;MAX(Lists!$D$4:$D$15)),"No period",INDEX(Lists!$B$4:$B$15,MATCH(A578,Lists!$C$4:$C$15,1))))</f>
        <v/>
      </c>
      <c r="C578" s="28">
        <f>IF(B578="","",IFERROR(INDEX(Lists!$A$4:$A$15,MATCH(B578,Lists!$B$4:$B$15,0)),0))</f>
        <v/>
      </c>
      <c r="D578" s="25" t="n"/>
      <c r="E578" s="24" t="n"/>
      <c r="F578" s="27">
        <f>IF(E578="","",IFERROR(INDEX(Lists!$H$4:$H$40,MATCH(E578,Lists!$F$4:$F$40,0)),"UNMAPPED"))</f>
        <v/>
      </c>
      <c r="G578" s="25" t="n"/>
      <c r="H578" s="25" t="n"/>
      <c r="I578" s="25" t="n"/>
      <c r="J578" s="25" t="n"/>
      <c r="K578" s="25" t="n"/>
      <c r="L578" s="29" t="n"/>
      <c r="M578" s="25" t="n"/>
      <c r="N578" s="30" t="n"/>
      <c r="O578" s="31">
        <f>IF(N578="","",IF(G578="Revenue",ROUND(N578*VATRate,2),0))</f>
        <v/>
      </c>
      <c r="P578" s="31">
        <f>IF(N578="","",N578+O578)</f>
        <v/>
      </c>
    </row>
    <row r="579">
      <c r="A579" s="26" t="n"/>
      <c r="B579" s="27">
        <f>IF(A579="","",IF(OR(A579&lt;MIN(Lists!$C$4:$C$15),A579&gt;MAX(Lists!$D$4:$D$15)),"No period",INDEX(Lists!$B$4:$B$15,MATCH(A579,Lists!$C$4:$C$15,1))))</f>
        <v/>
      </c>
      <c r="C579" s="28">
        <f>IF(B579="","",IFERROR(INDEX(Lists!$A$4:$A$15,MATCH(B579,Lists!$B$4:$B$15,0)),0))</f>
        <v/>
      </c>
      <c r="D579" s="25" t="n"/>
      <c r="E579" s="24" t="n"/>
      <c r="F579" s="27">
        <f>IF(E579="","",IFERROR(INDEX(Lists!$H$4:$H$40,MATCH(E579,Lists!$F$4:$F$40,0)),"UNMAPPED"))</f>
        <v/>
      </c>
      <c r="G579" s="25" t="n"/>
      <c r="H579" s="25" t="n"/>
      <c r="I579" s="25" t="n"/>
      <c r="J579" s="25" t="n"/>
      <c r="K579" s="25" t="n"/>
      <c r="L579" s="29" t="n"/>
      <c r="M579" s="25" t="n"/>
      <c r="N579" s="30" t="n"/>
      <c r="O579" s="31">
        <f>IF(N579="","",IF(G579="Revenue",ROUND(N579*VATRate,2),0))</f>
        <v/>
      </c>
      <c r="P579" s="31">
        <f>IF(N579="","",N579+O579)</f>
        <v/>
      </c>
    </row>
    <row r="580">
      <c r="A580" s="26" t="n"/>
      <c r="B580" s="27">
        <f>IF(A580="","",IF(OR(A580&lt;MIN(Lists!$C$4:$C$15),A580&gt;MAX(Lists!$D$4:$D$15)),"No period",INDEX(Lists!$B$4:$B$15,MATCH(A580,Lists!$C$4:$C$15,1))))</f>
        <v/>
      </c>
      <c r="C580" s="28">
        <f>IF(B580="","",IFERROR(INDEX(Lists!$A$4:$A$15,MATCH(B580,Lists!$B$4:$B$15,0)),0))</f>
        <v/>
      </c>
      <c r="D580" s="25" t="n"/>
      <c r="E580" s="24" t="n"/>
      <c r="F580" s="27">
        <f>IF(E580="","",IFERROR(INDEX(Lists!$H$4:$H$40,MATCH(E580,Lists!$F$4:$F$40,0)),"UNMAPPED"))</f>
        <v/>
      </c>
      <c r="G580" s="25" t="n"/>
      <c r="H580" s="25" t="n"/>
      <c r="I580" s="25" t="n"/>
      <c r="J580" s="25" t="n"/>
      <c r="K580" s="25" t="n"/>
      <c r="L580" s="29" t="n"/>
      <c r="M580" s="25" t="n"/>
      <c r="N580" s="30" t="n"/>
      <c r="O580" s="31">
        <f>IF(N580="","",IF(G580="Revenue",ROUND(N580*VATRate,2),0))</f>
        <v/>
      </c>
      <c r="P580" s="31">
        <f>IF(N580="","",N580+O580)</f>
        <v/>
      </c>
    </row>
    <row r="581">
      <c r="A581" s="26" t="n"/>
      <c r="B581" s="27">
        <f>IF(A581="","",IF(OR(A581&lt;MIN(Lists!$C$4:$C$15),A581&gt;MAX(Lists!$D$4:$D$15)),"No period",INDEX(Lists!$B$4:$B$15,MATCH(A581,Lists!$C$4:$C$15,1))))</f>
        <v/>
      </c>
      <c r="C581" s="28">
        <f>IF(B581="","",IFERROR(INDEX(Lists!$A$4:$A$15,MATCH(B581,Lists!$B$4:$B$15,0)),0))</f>
        <v/>
      </c>
      <c r="D581" s="25" t="n"/>
      <c r="E581" s="24" t="n"/>
      <c r="F581" s="27">
        <f>IF(E581="","",IFERROR(INDEX(Lists!$H$4:$H$40,MATCH(E581,Lists!$F$4:$F$40,0)),"UNMAPPED"))</f>
        <v/>
      </c>
      <c r="G581" s="25" t="n"/>
      <c r="H581" s="25" t="n"/>
      <c r="I581" s="25" t="n"/>
      <c r="J581" s="25" t="n"/>
      <c r="K581" s="25" t="n"/>
      <c r="L581" s="29" t="n"/>
      <c r="M581" s="25" t="n"/>
      <c r="N581" s="30" t="n"/>
      <c r="O581" s="31">
        <f>IF(N581="","",IF(G581="Revenue",ROUND(N581*VATRate,2),0))</f>
        <v/>
      </c>
      <c r="P581" s="31">
        <f>IF(N581="","",N581+O581)</f>
        <v/>
      </c>
    </row>
    <row r="582">
      <c r="A582" s="26" t="n"/>
      <c r="B582" s="27">
        <f>IF(A582="","",IF(OR(A582&lt;MIN(Lists!$C$4:$C$15),A582&gt;MAX(Lists!$D$4:$D$15)),"No period",INDEX(Lists!$B$4:$B$15,MATCH(A582,Lists!$C$4:$C$15,1))))</f>
        <v/>
      </c>
      <c r="C582" s="28">
        <f>IF(B582="","",IFERROR(INDEX(Lists!$A$4:$A$15,MATCH(B582,Lists!$B$4:$B$15,0)),0))</f>
        <v/>
      </c>
      <c r="D582" s="25" t="n"/>
      <c r="E582" s="24" t="n"/>
      <c r="F582" s="27">
        <f>IF(E582="","",IFERROR(INDEX(Lists!$H$4:$H$40,MATCH(E582,Lists!$F$4:$F$40,0)),"UNMAPPED"))</f>
        <v/>
      </c>
      <c r="G582" s="25" t="n"/>
      <c r="H582" s="25" t="n"/>
      <c r="I582" s="25" t="n"/>
      <c r="J582" s="25" t="n"/>
      <c r="K582" s="25" t="n"/>
      <c r="L582" s="29" t="n"/>
      <c r="M582" s="25" t="n"/>
      <c r="N582" s="30" t="n"/>
      <c r="O582" s="31">
        <f>IF(N582="","",IF(G582="Revenue",ROUND(N582*VATRate,2),0))</f>
        <v/>
      </c>
      <c r="P582" s="31">
        <f>IF(N582="","",N582+O582)</f>
        <v/>
      </c>
    </row>
    <row r="583">
      <c r="A583" s="26" t="n"/>
      <c r="B583" s="27">
        <f>IF(A583="","",IF(OR(A583&lt;MIN(Lists!$C$4:$C$15),A583&gt;MAX(Lists!$D$4:$D$15)),"No period",INDEX(Lists!$B$4:$B$15,MATCH(A583,Lists!$C$4:$C$15,1))))</f>
        <v/>
      </c>
      <c r="C583" s="28">
        <f>IF(B583="","",IFERROR(INDEX(Lists!$A$4:$A$15,MATCH(B583,Lists!$B$4:$B$15,0)),0))</f>
        <v/>
      </c>
      <c r="D583" s="25" t="n"/>
      <c r="E583" s="24" t="n"/>
      <c r="F583" s="27">
        <f>IF(E583="","",IFERROR(INDEX(Lists!$H$4:$H$40,MATCH(E583,Lists!$F$4:$F$40,0)),"UNMAPPED"))</f>
        <v/>
      </c>
      <c r="G583" s="25" t="n"/>
      <c r="H583" s="25" t="n"/>
      <c r="I583" s="25" t="n"/>
      <c r="J583" s="25" t="n"/>
      <c r="K583" s="25" t="n"/>
      <c r="L583" s="29" t="n"/>
      <c r="M583" s="25" t="n"/>
      <c r="N583" s="30" t="n"/>
      <c r="O583" s="31">
        <f>IF(N583="","",IF(G583="Revenue",ROUND(N583*VATRate,2),0))</f>
        <v/>
      </c>
      <c r="P583" s="31">
        <f>IF(N583="","",N583+O583)</f>
        <v/>
      </c>
    </row>
    <row r="584">
      <c r="A584" s="26" t="n"/>
      <c r="B584" s="27">
        <f>IF(A584="","",IF(OR(A584&lt;MIN(Lists!$C$4:$C$15),A584&gt;MAX(Lists!$D$4:$D$15)),"No period",INDEX(Lists!$B$4:$B$15,MATCH(A584,Lists!$C$4:$C$15,1))))</f>
        <v/>
      </c>
      <c r="C584" s="28">
        <f>IF(B584="","",IFERROR(INDEX(Lists!$A$4:$A$15,MATCH(B584,Lists!$B$4:$B$15,0)),0))</f>
        <v/>
      </c>
      <c r="D584" s="25" t="n"/>
      <c r="E584" s="24" t="n"/>
      <c r="F584" s="27">
        <f>IF(E584="","",IFERROR(INDEX(Lists!$H$4:$H$40,MATCH(E584,Lists!$F$4:$F$40,0)),"UNMAPPED"))</f>
        <v/>
      </c>
      <c r="G584" s="25" t="n"/>
      <c r="H584" s="25" t="n"/>
      <c r="I584" s="25" t="n"/>
      <c r="J584" s="25" t="n"/>
      <c r="K584" s="25" t="n"/>
      <c r="L584" s="29" t="n"/>
      <c r="M584" s="25" t="n"/>
      <c r="N584" s="30" t="n"/>
      <c r="O584" s="31">
        <f>IF(N584="","",IF(G584="Revenue",ROUND(N584*VATRate,2),0))</f>
        <v/>
      </c>
      <c r="P584" s="31">
        <f>IF(N584="","",N584+O584)</f>
        <v/>
      </c>
    </row>
    <row r="585">
      <c r="A585" s="26" t="n"/>
      <c r="B585" s="27">
        <f>IF(A585="","",IF(OR(A585&lt;MIN(Lists!$C$4:$C$15),A585&gt;MAX(Lists!$D$4:$D$15)),"No period",INDEX(Lists!$B$4:$B$15,MATCH(A585,Lists!$C$4:$C$15,1))))</f>
        <v/>
      </c>
      <c r="C585" s="28">
        <f>IF(B585="","",IFERROR(INDEX(Lists!$A$4:$A$15,MATCH(B585,Lists!$B$4:$B$15,0)),0))</f>
        <v/>
      </c>
      <c r="D585" s="25" t="n"/>
      <c r="E585" s="24" t="n"/>
      <c r="F585" s="27">
        <f>IF(E585="","",IFERROR(INDEX(Lists!$H$4:$H$40,MATCH(E585,Lists!$F$4:$F$40,0)),"UNMAPPED"))</f>
        <v/>
      </c>
      <c r="G585" s="25" t="n"/>
      <c r="H585" s="25" t="n"/>
      <c r="I585" s="25" t="n"/>
      <c r="J585" s="25" t="n"/>
      <c r="K585" s="25" t="n"/>
      <c r="L585" s="29" t="n"/>
      <c r="M585" s="25" t="n"/>
      <c r="N585" s="30" t="n"/>
      <c r="O585" s="31">
        <f>IF(N585="","",IF(G585="Revenue",ROUND(N585*VATRate,2),0))</f>
        <v/>
      </c>
      <c r="P585" s="31">
        <f>IF(N585="","",N585+O585)</f>
        <v/>
      </c>
    </row>
    <row r="586">
      <c r="A586" s="26" t="n"/>
      <c r="B586" s="27">
        <f>IF(A586="","",IF(OR(A586&lt;MIN(Lists!$C$4:$C$15),A586&gt;MAX(Lists!$D$4:$D$15)),"No period",INDEX(Lists!$B$4:$B$15,MATCH(A586,Lists!$C$4:$C$15,1))))</f>
        <v/>
      </c>
      <c r="C586" s="28">
        <f>IF(B586="","",IFERROR(INDEX(Lists!$A$4:$A$15,MATCH(B586,Lists!$B$4:$B$15,0)),0))</f>
        <v/>
      </c>
      <c r="D586" s="25" t="n"/>
      <c r="E586" s="24" t="n"/>
      <c r="F586" s="27">
        <f>IF(E586="","",IFERROR(INDEX(Lists!$H$4:$H$40,MATCH(E586,Lists!$F$4:$F$40,0)),"UNMAPPED"))</f>
        <v/>
      </c>
      <c r="G586" s="25" t="n"/>
      <c r="H586" s="25" t="n"/>
      <c r="I586" s="25" t="n"/>
      <c r="J586" s="25" t="n"/>
      <c r="K586" s="25" t="n"/>
      <c r="L586" s="29" t="n"/>
      <c r="M586" s="25" t="n"/>
      <c r="N586" s="30" t="n"/>
      <c r="O586" s="31">
        <f>IF(N586="","",IF(G586="Revenue",ROUND(N586*VATRate,2),0))</f>
        <v/>
      </c>
      <c r="P586" s="31">
        <f>IF(N586="","",N586+O586)</f>
        <v/>
      </c>
    </row>
    <row r="587">
      <c r="A587" s="26" t="n"/>
      <c r="B587" s="27">
        <f>IF(A587="","",IF(OR(A587&lt;MIN(Lists!$C$4:$C$15),A587&gt;MAX(Lists!$D$4:$D$15)),"No period",INDEX(Lists!$B$4:$B$15,MATCH(A587,Lists!$C$4:$C$15,1))))</f>
        <v/>
      </c>
      <c r="C587" s="28">
        <f>IF(B587="","",IFERROR(INDEX(Lists!$A$4:$A$15,MATCH(B587,Lists!$B$4:$B$15,0)),0))</f>
        <v/>
      </c>
      <c r="D587" s="25" t="n"/>
      <c r="E587" s="24" t="n"/>
      <c r="F587" s="27">
        <f>IF(E587="","",IFERROR(INDEX(Lists!$H$4:$H$40,MATCH(E587,Lists!$F$4:$F$40,0)),"UNMAPPED"))</f>
        <v/>
      </c>
      <c r="G587" s="25" t="n"/>
      <c r="H587" s="25" t="n"/>
      <c r="I587" s="25" t="n"/>
      <c r="J587" s="25" t="n"/>
      <c r="K587" s="25" t="n"/>
      <c r="L587" s="29" t="n"/>
      <c r="M587" s="25" t="n"/>
      <c r="N587" s="30" t="n"/>
      <c r="O587" s="31">
        <f>IF(N587="","",IF(G587="Revenue",ROUND(N587*VATRate,2),0))</f>
        <v/>
      </c>
      <c r="P587" s="31">
        <f>IF(N587="","",N587+O587)</f>
        <v/>
      </c>
    </row>
    <row r="588">
      <c r="A588" s="26" t="n"/>
      <c r="B588" s="27">
        <f>IF(A588="","",IF(OR(A588&lt;MIN(Lists!$C$4:$C$15),A588&gt;MAX(Lists!$D$4:$D$15)),"No period",INDEX(Lists!$B$4:$B$15,MATCH(A588,Lists!$C$4:$C$15,1))))</f>
        <v/>
      </c>
      <c r="C588" s="28">
        <f>IF(B588="","",IFERROR(INDEX(Lists!$A$4:$A$15,MATCH(B588,Lists!$B$4:$B$15,0)),0))</f>
        <v/>
      </c>
      <c r="D588" s="25" t="n"/>
      <c r="E588" s="24" t="n"/>
      <c r="F588" s="27">
        <f>IF(E588="","",IFERROR(INDEX(Lists!$H$4:$H$40,MATCH(E588,Lists!$F$4:$F$40,0)),"UNMAPPED"))</f>
        <v/>
      </c>
      <c r="G588" s="25" t="n"/>
      <c r="H588" s="25" t="n"/>
      <c r="I588" s="25" t="n"/>
      <c r="J588" s="25" t="n"/>
      <c r="K588" s="25" t="n"/>
      <c r="L588" s="29" t="n"/>
      <c r="M588" s="25" t="n"/>
      <c r="N588" s="30" t="n"/>
      <c r="O588" s="31">
        <f>IF(N588="","",IF(G588="Revenue",ROUND(N588*VATRate,2),0))</f>
        <v/>
      </c>
      <c r="P588" s="31">
        <f>IF(N588="","",N588+O588)</f>
        <v/>
      </c>
    </row>
    <row r="589">
      <c r="A589" s="26" t="n"/>
      <c r="B589" s="27">
        <f>IF(A589="","",IF(OR(A589&lt;MIN(Lists!$C$4:$C$15),A589&gt;MAX(Lists!$D$4:$D$15)),"No period",INDEX(Lists!$B$4:$B$15,MATCH(A589,Lists!$C$4:$C$15,1))))</f>
        <v/>
      </c>
      <c r="C589" s="28">
        <f>IF(B589="","",IFERROR(INDEX(Lists!$A$4:$A$15,MATCH(B589,Lists!$B$4:$B$15,0)),0))</f>
        <v/>
      </c>
      <c r="D589" s="25" t="n"/>
      <c r="E589" s="24" t="n"/>
      <c r="F589" s="27">
        <f>IF(E589="","",IFERROR(INDEX(Lists!$H$4:$H$40,MATCH(E589,Lists!$F$4:$F$40,0)),"UNMAPPED"))</f>
        <v/>
      </c>
      <c r="G589" s="25" t="n"/>
      <c r="H589" s="25" t="n"/>
      <c r="I589" s="25" t="n"/>
      <c r="J589" s="25" t="n"/>
      <c r="K589" s="25" t="n"/>
      <c r="L589" s="29" t="n"/>
      <c r="M589" s="25" t="n"/>
      <c r="N589" s="30" t="n"/>
      <c r="O589" s="31">
        <f>IF(N589="","",IF(G589="Revenue",ROUND(N589*VATRate,2),0))</f>
        <v/>
      </c>
      <c r="P589" s="31">
        <f>IF(N589="","",N589+O589)</f>
        <v/>
      </c>
    </row>
    <row r="590">
      <c r="A590" s="26" t="n"/>
      <c r="B590" s="27">
        <f>IF(A590="","",IF(OR(A590&lt;MIN(Lists!$C$4:$C$15),A590&gt;MAX(Lists!$D$4:$D$15)),"No period",INDEX(Lists!$B$4:$B$15,MATCH(A590,Lists!$C$4:$C$15,1))))</f>
        <v/>
      </c>
      <c r="C590" s="28">
        <f>IF(B590="","",IFERROR(INDEX(Lists!$A$4:$A$15,MATCH(B590,Lists!$B$4:$B$15,0)),0))</f>
        <v/>
      </c>
      <c r="D590" s="25" t="n"/>
      <c r="E590" s="24" t="n"/>
      <c r="F590" s="27">
        <f>IF(E590="","",IFERROR(INDEX(Lists!$H$4:$H$40,MATCH(E590,Lists!$F$4:$F$40,0)),"UNMAPPED"))</f>
        <v/>
      </c>
      <c r="G590" s="25" t="n"/>
      <c r="H590" s="25" t="n"/>
      <c r="I590" s="25" t="n"/>
      <c r="J590" s="25" t="n"/>
      <c r="K590" s="25" t="n"/>
      <c r="L590" s="29" t="n"/>
      <c r="M590" s="25" t="n"/>
      <c r="N590" s="30" t="n"/>
      <c r="O590" s="31">
        <f>IF(N590="","",IF(G590="Revenue",ROUND(N590*VATRate,2),0))</f>
        <v/>
      </c>
      <c r="P590" s="31">
        <f>IF(N590="","",N590+O590)</f>
        <v/>
      </c>
    </row>
    <row r="591">
      <c r="A591" s="26" t="n"/>
      <c r="B591" s="27">
        <f>IF(A591="","",IF(OR(A591&lt;MIN(Lists!$C$4:$C$15),A591&gt;MAX(Lists!$D$4:$D$15)),"No period",INDEX(Lists!$B$4:$B$15,MATCH(A591,Lists!$C$4:$C$15,1))))</f>
        <v/>
      </c>
      <c r="C591" s="28">
        <f>IF(B591="","",IFERROR(INDEX(Lists!$A$4:$A$15,MATCH(B591,Lists!$B$4:$B$15,0)),0))</f>
        <v/>
      </c>
      <c r="D591" s="25" t="n"/>
      <c r="E591" s="24" t="n"/>
      <c r="F591" s="27">
        <f>IF(E591="","",IFERROR(INDEX(Lists!$H$4:$H$40,MATCH(E591,Lists!$F$4:$F$40,0)),"UNMAPPED"))</f>
        <v/>
      </c>
      <c r="G591" s="25" t="n"/>
      <c r="H591" s="25" t="n"/>
      <c r="I591" s="25" t="n"/>
      <c r="J591" s="25" t="n"/>
      <c r="K591" s="25" t="n"/>
      <c r="L591" s="29" t="n"/>
      <c r="M591" s="25" t="n"/>
      <c r="N591" s="30" t="n"/>
      <c r="O591" s="31">
        <f>IF(N591="","",IF(G591="Revenue",ROUND(N591*VATRate,2),0))</f>
        <v/>
      </c>
      <c r="P591" s="31">
        <f>IF(N591="","",N591+O591)</f>
        <v/>
      </c>
    </row>
    <row r="592">
      <c r="A592" s="26" t="n"/>
      <c r="B592" s="27">
        <f>IF(A592="","",IF(OR(A592&lt;MIN(Lists!$C$4:$C$15),A592&gt;MAX(Lists!$D$4:$D$15)),"No period",INDEX(Lists!$B$4:$B$15,MATCH(A592,Lists!$C$4:$C$15,1))))</f>
        <v/>
      </c>
      <c r="C592" s="28">
        <f>IF(B592="","",IFERROR(INDEX(Lists!$A$4:$A$15,MATCH(B592,Lists!$B$4:$B$15,0)),0))</f>
        <v/>
      </c>
      <c r="D592" s="25" t="n"/>
      <c r="E592" s="24" t="n"/>
      <c r="F592" s="27">
        <f>IF(E592="","",IFERROR(INDEX(Lists!$H$4:$H$40,MATCH(E592,Lists!$F$4:$F$40,0)),"UNMAPPED"))</f>
        <v/>
      </c>
      <c r="G592" s="25" t="n"/>
      <c r="H592" s="25" t="n"/>
      <c r="I592" s="25" t="n"/>
      <c r="J592" s="25" t="n"/>
      <c r="K592" s="25" t="n"/>
      <c r="L592" s="29" t="n"/>
      <c r="M592" s="25" t="n"/>
      <c r="N592" s="30" t="n"/>
      <c r="O592" s="31">
        <f>IF(N592="","",IF(G592="Revenue",ROUND(N592*VATRate,2),0))</f>
        <v/>
      </c>
      <c r="P592" s="31">
        <f>IF(N592="","",N592+O592)</f>
        <v/>
      </c>
    </row>
    <row r="593">
      <c r="A593" s="26" t="n"/>
      <c r="B593" s="27">
        <f>IF(A593="","",IF(OR(A593&lt;MIN(Lists!$C$4:$C$15),A593&gt;MAX(Lists!$D$4:$D$15)),"No period",INDEX(Lists!$B$4:$B$15,MATCH(A593,Lists!$C$4:$C$15,1))))</f>
        <v/>
      </c>
      <c r="C593" s="28">
        <f>IF(B593="","",IFERROR(INDEX(Lists!$A$4:$A$15,MATCH(B593,Lists!$B$4:$B$15,0)),0))</f>
        <v/>
      </c>
      <c r="D593" s="25" t="n"/>
      <c r="E593" s="24" t="n"/>
      <c r="F593" s="27">
        <f>IF(E593="","",IFERROR(INDEX(Lists!$H$4:$H$40,MATCH(E593,Lists!$F$4:$F$40,0)),"UNMAPPED"))</f>
        <v/>
      </c>
      <c r="G593" s="25" t="n"/>
      <c r="H593" s="25" t="n"/>
      <c r="I593" s="25" t="n"/>
      <c r="J593" s="25" t="n"/>
      <c r="K593" s="25" t="n"/>
      <c r="L593" s="29" t="n"/>
      <c r="M593" s="25" t="n"/>
      <c r="N593" s="30" t="n"/>
      <c r="O593" s="31">
        <f>IF(N593="","",IF(G593="Revenue",ROUND(N593*VATRate,2),0))</f>
        <v/>
      </c>
      <c r="P593" s="31">
        <f>IF(N593="","",N593+O593)</f>
        <v/>
      </c>
    </row>
    <row r="594">
      <c r="A594" s="26" t="n"/>
      <c r="B594" s="27">
        <f>IF(A594="","",IF(OR(A594&lt;MIN(Lists!$C$4:$C$15),A594&gt;MAX(Lists!$D$4:$D$15)),"No period",INDEX(Lists!$B$4:$B$15,MATCH(A594,Lists!$C$4:$C$15,1))))</f>
        <v/>
      </c>
      <c r="C594" s="28">
        <f>IF(B594="","",IFERROR(INDEX(Lists!$A$4:$A$15,MATCH(B594,Lists!$B$4:$B$15,0)),0))</f>
        <v/>
      </c>
      <c r="D594" s="25" t="n"/>
      <c r="E594" s="24" t="n"/>
      <c r="F594" s="27">
        <f>IF(E594="","",IFERROR(INDEX(Lists!$H$4:$H$40,MATCH(E594,Lists!$F$4:$F$40,0)),"UNMAPPED"))</f>
        <v/>
      </c>
      <c r="G594" s="25" t="n"/>
      <c r="H594" s="25" t="n"/>
      <c r="I594" s="25" t="n"/>
      <c r="J594" s="25" t="n"/>
      <c r="K594" s="25" t="n"/>
      <c r="L594" s="29" t="n"/>
      <c r="M594" s="25" t="n"/>
      <c r="N594" s="30" t="n"/>
      <c r="O594" s="31">
        <f>IF(N594="","",IF(G594="Revenue",ROUND(N594*VATRate,2),0))</f>
        <v/>
      </c>
      <c r="P594" s="31">
        <f>IF(N594="","",N594+O594)</f>
        <v/>
      </c>
    </row>
    <row r="595">
      <c r="A595" s="26" t="n"/>
      <c r="B595" s="27">
        <f>IF(A595="","",IF(OR(A595&lt;MIN(Lists!$C$4:$C$15),A595&gt;MAX(Lists!$D$4:$D$15)),"No period",INDEX(Lists!$B$4:$B$15,MATCH(A595,Lists!$C$4:$C$15,1))))</f>
        <v/>
      </c>
      <c r="C595" s="28">
        <f>IF(B595="","",IFERROR(INDEX(Lists!$A$4:$A$15,MATCH(B595,Lists!$B$4:$B$15,0)),0))</f>
        <v/>
      </c>
      <c r="D595" s="25" t="n"/>
      <c r="E595" s="24" t="n"/>
      <c r="F595" s="27">
        <f>IF(E595="","",IFERROR(INDEX(Lists!$H$4:$H$40,MATCH(E595,Lists!$F$4:$F$40,0)),"UNMAPPED"))</f>
        <v/>
      </c>
      <c r="G595" s="25" t="n"/>
      <c r="H595" s="25" t="n"/>
      <c r="I595" s="25" t="n"/>
      <c r="J595" s="25" t="n"/>
      <c r="K595" s="25" t="n"/>
      <c r="L595" s="29" t="n"/>
      <c r="M595" s="25" t="n"/>
      <c r="N595" s="30" t="n"/>
      <c r="O595" s="31">
        <f>IF(N595="","",IF(G595="Revenue",ROUND(N595*VATRate,2),0))</f>
        <v/>
      </c>
      <c r="P595" s="31">
        <f>IF(N595="","",N595+O595)</f>
        <v/>
      </c>
    </row>
    <row r="596">
      <c r="A596" s="26" t="n"/>
      <c r="B596" s="27">
        <f>IF(A596="","",IF(OR(A596&lt;MIN(Lists!$C$4:$C$15),A596&gt;MAX(Lists!$D$4:$D$15)),"No period",INDEX(Lists!$B$4:$B$15,MATCH(A596,Lists!$C$4:$C$15,1))))</f>
        <v/>
      </c>
      <c r="C596" s="28">
        <f>IF(B596="","",IFERROR(INDEX(Lists!$A$4:$A$15,MATCH(B596,Lists!$B$4:$B$15,0)),0))</f>
        <v/>
      </c>
      <c r="D596" s="25" t="n"/>
      <c r="E596" s="24" t="n"/>
      <c r="F596" s="27">
        <f>IF(E596="","",IFERROR(INDEX(Lists!$H$4:$H$40,MATCH(E596,Lists!$F$4:$F$40,0)),"UNMAPPED"))</f>
        <v/>
      </c>
      <c r="G596" s="25" t="n"/>
      <c r="H596" s="25" t="n"/>
      <c r="I596" s="25" t="n"/>
      <c r="J596" s="25" t="n"/>
      <c r="K596" s="25" t="n"/>
      <c r="L596" s="29" t="n"/>
      <c r="M596" s="25" t="n"/>
      <c r="N596" s="30" t="n"/>
      <c r="O596" s="31">
        <f>IF(N596="","",IF(G596="Revenue",ROUND(N596*VATRate,2),0))</f>
        <v/>
      </c>
      <c r="P596" s="31">
        <f>IF(N596="","",N596+O596)</f>
        <v/>
      </c>
    </row>
    <row r="597">
      <c r="A597" s="26" t="n"/>
      <c r="B597" s="27">
        <f>IF(A597="","",IF(OR(A597&lt;MIN(Lists!$C$4:$C$15),A597&gt;MAX(Lists!$D$4:$D$15)),"No period",INDEX(Lists!$B$4:$B$15,MATCH(A597,Lists!$C$4:$C$15,1))))</f>
        <v/>
      </c>
      <c r="C597" s="28">
        <f>IF(B597="","",IFERROR(INDEX(Lists!$A$4:$A$15,MATCH(B597,Lists!$B$4:$B$15,0)),0))</f>
        <v/>
      </c>
      <c r="D597" s="25" t="n"/>
      <c r="E597" s="24" t="n"/>
      <c r="F597" s="27">
        <f>IF(E597="","",IFERROR(INDEX(Lists!$H$4:$H$40,MATCH(E597,Lists!$F$4:$F$40,0)),"UNMAPPED"))</f>
        <v/>
      </c>
      <c r="G597" s="25" t="n"/>
      <c r="H597" s="25" t="n"/>
      <c r="I597" s="25" t="n"/>
      <c r="J597" s="25" t="n"/>
      <c r="K597" s="25" t="n"/>
      <c r="L597" s="29" t="n"/>
      <c r="M597" s="25" t="n"/>
      <c r="N597" s="30" t="n"/>
      <c r="O597" s="31">
        <f>IF(N597="","",IF(G597="Revenue",ROUND(N597*VATRate,2),0))</f>
        <v/>
      </c>
      <c r="P597" s="31">
        <f>IF(N597="","",N597+O597)</f>
        <v/>
      </c>
    </row>
    <row r="598">
      <c r="A598" s="26" t="n"/>
      <c r="B598" s="27">
        <f>IF(A598="","",IF(OR(A598&lt;MIN(Lists!$C$4:$C$15),A598&gt;MAX(Lists!$D$4:$D$15)),"No period",INDEX(Lists!$B$4:$B$15,MATCH(A598,Lists!$C$4:$C$15,1))))</f>
        <v/>
      </c>
      <c r="C598" s="28">
        <f>IF(B598="","",IFERROR(INDEX(Lists!$A$4:$A$15,MATCH(B598,Lists!$B$4:$B$15,0)),0))</f>
        <v/>
      </c>
      <c r="D598" s="25" t="n"/>
      <c r="E598" s="24" t="n"/>
      <c r="F598" s="27">
        <f>IF(E598="","",IFERROR(INDEX(Lists!$H$4:$H$40,MATCH(E598,Lists!$F$4:$F$40,0)),"UNMAPPED"))</f>
        <v/>
      </c>
      <c r="G598" s="25" t="n"/>
      <c r="H598" s="25" t="n"/>
      <c r="I598" s="25" t="n"/>
      <c r="J598" s="25" t="n"/>
      <c r="K598" s="25" t="n"/>
      <c r="L598" s="29" t="n"/>
      <c r="M598" s="25" t="n"/>
      <c r="N598" s="30" t="n"/>
      <c r="O598" s="31">
        <f>IF(N598="","",IF(G598="Revenue",ROUND(N598*VATRate,2),0))</f>
        <v/>
      </c>
      <c r="P598" s="31">
        <f>IF(N598="","",N598+O598)</f>
        <v/>
      </c>
    </row>
    <row r="599">
      <c r="A599" s="26" t="n"/>
      <c r="B599" s="27">
        <f>IF(A599="","",IF(OR(A599&lt;MIN(Lists!$C$4:$C$15),A599&gt;MAX(Lists!$D$4:$D$15)),"No period",INDEX(Lists!$B$4:$B$15,MATCH(A599,Lists!$C$4:$C$15,1))))</f>
        <v/>
      </c>
      <c r="C599" s="28">
        <f>IF(B599="","",IFERROR(INDEX(Lists!$A$4:$A$15,MATCH(B599,Lists!$B$4:$B$15,0)),0))</f>
        <v/>
      </c>
      <c r="D599" s="25" t="n"/>
      <c r="E599" s="24" t="n"/>
      <c r="F599" s="27">
        <f>IF(E599="","",IFERROR(INDEX(Lists!$H$4:$H$40,MATCH(E599,Lists!$F$4:$F$40,0)),"UNMAPPED"))</f>
        <v/>
      </c>
      <c r="G599" s="25" t="n"/>
      <c r="H599" s="25" t="n"/>
      <c r="I599" s="25" t="n"/>
      <c r="J599" s="25" t="n"/>
      <c r="K599" s="25" t="n"/>
      <c r="L599" s="29" t="n"/>
      <c r="M599" s="25" t="n"/>
      <c r="N599" s="30" t="n"/>
      <c r="O599" s="31">
        <f>IF(N599="","",IF(G599="Revenue",ROUND(N599*VATRate,2),0))</f>
        <v/>
      </c>
      <c r="P599" s="31">
        <f>IF(N599="","",N599+O599)</f>
        <v/>
      </c>
    </row>
    <row r="600">
      <c r="A600" s="26" t="n"/>
      <c r="B600" s="27">
        <f>IF(A600="","",IF(OR(A600&lt;MIN(Lists!$C$4:$C$15),A600&gt;MAX(Lists!$D$4:$D$15)),"No period",INDEX(Lists!$B$4:$B$15,MATCH(A600,Lists!$C$4:$C$15,1))))</f>
        <v/>
      </c>
      <c r="C600" s="28">
        <f>IF(B600="","",IFERROR(INDEX(Lists!$A$4:$A$15,MATCH(B600,Lists!$B$4:$B$15,0)),0))</f>
        <v/>
      </c>
      <c r="D600" s="25" t="n"/>
      <c r="E600" s="24" t="n"/>
      <c r="F600" s="27">
        <f>IF(E600="","",IFERROR(INDEX(Lists!$H$4:$H$40,MATCH(E600,Lists!$F$4:$F$40,0)),"UNMAPPED"))</f>
        <v/>
      </c>
      <c r="G600" s="25" t="n"/>
      <c r="H600" s="25" t="n"/>
      <c r="I600" s="25" t="n"/>
      <c r="J600" s="25" t="n"/>
      <c r="K600" s="25" t="n"/>
      <c r="L600" s="29" t="n"/>
      <c r="M600" s="25" t="n"/>
      <c r="N600" s="30" t="n"/>
      <c r="O600" s="31">
        <f>IF(N600="","",IF(G600="Revenue",ROUND(N600*VATRate,2),0))</f>
        <v/>
      </c>
      <c r="P600" s="31">
        <f>IF(N600="","",N600+O600)</f>
        <v/>
      </c>
    </row>
    <row r="601">
      <c r="A601" s="26" t="n"/>
      <c r="B601" s="27">
        <f>IF(A601="","",IF(OR(A601&lt;MIN(Lists!$C$4:$C$15),A601&gt;MAX(Lists!$D$4:$D$15)),"No period",INDEX(Lists!$B$4:$B$15,MATCH(A601,Lists!$C$4:$C$15,1))))</f>
        <v/>
      </c>
      <c r="C601" s="28">
        <f>IF(B601="","",IFERROR(INDEX(Lists!$A$4:$A$15,MATCH(B601,Lists!$B$4:$B$15,0)),0))</f>
        <v/>
      </c>
      <c r="D601" s="25" t="n"/>
      <c r="E601" s="24" t="n"/>
      <c r="F601" s="27">
        <f>IF(E601="","",IFERROR(INDEX(Lists!$H$4:$H$40,MATCH(E601,Lists!$F$4:$F$40,0)),"UNMAPPED"))</f>
        <v/>
      </c>
      <c r="G601" s="25" t="n"/>
      <c r="H601" s="25" t="n"/>
      <c r="I601" s="25" t="n"/>
      <c r="J601" s="25" t="n"/>
      <c r="K601" s="25" t="n"/>
      <c r="L601" s="29" t="n"/>
      <c r="M601" s="25" t="n"/>
      <c r="N601" s="30" t="n"/>
      <c r="O601" s="31">
        <f>IF(N601="","",IF(G601="Revenue",ROUND(N601*VATRate,2),0))</f>
        <v/>
      </c>
      <c r="P601" s="31">
        <f>IF(N601="","",N601+O601)</f>
        <v/>
      </c>
    </row>
    <row r="602">
      <c r="A602" s="26" t="n"/>
      <c r="B602" s="27">
        <f>IF(A602="","",IF(OR(A602&lt;MIN(Lists!$C$4:$C$15),A602&gt;MAX(Lists!$D$4:$D$15)),"No period",INDEX(Lists!$B$4:$B$15,MATCH(A602,Lists!$C$4:$C$15,1))))</f>
        <v/>
      </c>
      <c r="C602" s="28">
        <f>IF(B602="","",IFERROR(INDEX(Lists!$A$4:$A$15,MATCH(B602,Lists!$B$4:$B$15,0)),0))</f>
        <v/>
      </c>
      <c r="D602" s="25" t="n"/>
      <c r="E602" s="24" t="n"/>
      <c r="F602" s="27">
        <f>IF(E602="","",IFERROR(INDEX(Lists!$H$4:$H$40,MATCH(E602,Lists!$F$4:$F$40,0)),"UNMAPPED"))</f>
        <v/>
      </c>
      <c r="G602" s="25" t="n"/>
      <c r="H602" s="25" t="n"/>
      <c r="I602" s="25" t="n"/>
      <c r="J602" s="25" t="n"/>
      <c r="K602" s="25" t="n"/>
      <c r="L602" s="29" t="n"/>
      <c r="M602" s="25" t="n"/>
      <c r="N602" s="30" t="n"/>
      <c r="O602" s="31">
        <f>IF(N602="","",IF(G602="Revenue",ROUND(N602*VATRate,2),0))</f>
        <v/>
      </c>
      <c r="P602" s="31">
        <f>IF(N602="","",N602+O602)</f>
        <v/>
      </c>
    </row>
    <row r="603">
      <c r="A603" s="26" t="n"/>
      <c r="B603" s="27">
        <f>IF(A603="","",IF(OR(A603&lt;MIN(Lists!$C$4:$C$15),A603&gt;MAX(Lists!$D$4:$D$15)),"No period",INDEX(Lists!$B$4:$B$15,MATCH(A603,Lists!$C$4:$C$15,1))))</f>
        <v/>
      </c>
      <c r="C603" s="28">
        <f>IF(B603="","",IFERROR(INDEX(Lists!$A$4:$A$15,MATCH(B603,Lists!$B$4:$B$15,0)),0))</f>
        <v/>
      </c>
      <c r="D603" s="25" t="n"/>
      <c r="E603" s="24" t="n"/>
      <c r="F603" s="27">
        <f>IF(E603="","",IFERROR(INDEX(Lists!$H$4:$H$40,MATCH(E603,Lists!$F$4:$F$40,0)),"UNMAPPED"))</f>
        <v/>
      </c>
      <c r="G603" s="25" t="n"/>
      <c r="H603" s="25" t="n"/>
      <c r="I603" s="25" t="n"/>
      <c r="J603" s="25" t="n"/>
      <c r="K603" s="25" t="n"/>
      <c r="L603" s="29" t="n"/>
      <c r="M603" s="25" t="n"/>
      <c r="N603" s="30" t="n"/>
      <c r="O603" s="31">
        <f>IF(N603="","",IF(G603="Revenue",ROUND(N603*VATRate,2),0))</f>
        <v/>
      </c>
      <c r="P603" s="31">
        <f>IF(N603="","",N603+O603)</f>
        <v/>
      </c>
    </row>
    <row r="604">
      <c r="A604" s="26" t="n"/>
      <c r="B604" s="27">
        <f>IF(A604="","",IF(OR(A604&lt;MIN(Lists!$C$4:$C$15),A604&gt;MAX(Lists!$D$4:$D$15)),"No period",INDEX(Lists!$B$4:$B$15,MATCH(A604,Lists!$C$4:$C$15,1))))</f>
        <v/>
      </c>
      <c r="C604" s="28">
        <f>IF(B604="","",IFERROR(INDEX(Lists!$A$4:$A$15,MATCH(B604,Lists!$B$4:$B$15,0)),0))</f>
        <v/>
      </c>
      <c r="D604" s="25" t="n"/>
      <c r="E604" s="24" t="n"/>
      <c r="F604" s="27">
        <f>IF(E604="","",IFERROR(INDEX(Lists!$H$4:$H$40,MATCH(E604,Lists!$F$4:$F$40,0)),"UNMAPPED"))</f>
        <v/>
      </c>
      <c r="G604" s="25" t="n"/>
      <c r="H604" s="25" t="n"/>
      <c r="I604" s="25" t="n"/>
      <c r="J604" s="25" t="n"/>
      <c r="K604" s="25" t="n"/>
      <c r="L604" s="29" t="n"/>
      <c r="M604" s="25" t="n"/>
      <c r="N604" s="30" t="n"/>
      <c r="O604" s="31">
        <f>IF(N604="","",IF(G604="Revenue",ROUND(N604*VATRate,2),0))</f>
        <v/>
      </c>
      <c r="P604" s="31">
        <f>IF(N604="","",N604+O604)</f>
        <v/>
      </c>
    </row>
    <row r="605">
      <c r="A605" s="26" t="n"/>
      <c r="B605" s="27">
        <f>IF(A605="","",IF(OR(A605&lt;MIN(Lists!$C$4:$C$15),A605&gt;MAX(Lists!$D$4:$D$15)),"No period",INDEX(Lists!$B$4:$B$15,MATCH(A605,Lists!$C$4:$C$15,1))))</f>
        <v/>
      </c>
      <c r="C605" s="28">
        <f>IF(B605="","",IFERROR(INDEX(Lists!$A$4:$A$15,MATCH(B605,Lists!$B$4:$B$15,0)),0))</f>
        <v/>
      </c>
      <c r="D605" s="25" t="n"/>
      <c r="E605" s="24" t="n"/>
      <c r="F605" s="27">
        <f>IF(E605="","",IFERROR(INDEX(Lists!$H$4:$H$40,MATCH(E605,Lists!$F$4:$F$40,0)),"UNMAPPED"))</f>
        <v/>
      </c>
      <c r="G605" s="25" t="n"/>
      <c r="H605" s="25" t="n"/>
      <c r="I605" s="25" t="n"/>
      <c r="J605" s="25" t="n"/>
      <c r="K605" s="25" t="n"/>
      <c r="L605" s="29" t="n"/>
      <c r="M605" s="25" t="n"/>
      <c r="N605" s="30" t="n"/>
      <c r="O605" s="31">
        <f>IF(N605="","",IF(G605="Revenue",ROUND(N605*VATRate,2),0))</f>
        <v/>
      </c>
      <c r="P605" s="31">
        <f>IF(N605="","",N605+O605)</f>
        <v/>
      </c>
    </row>
    <row r="606">
      <c r="A606" s="26" t="n"/>
      <c r="B606" s="27">
        <f>IF(A606="","",IF(OR(A606&lt;MIN(Lists!$C$4:$C$15),A606&gt;MAX(Lists!$D$4:$D$15)),"No period",INDEX(Lists!$B$4:$B$15,MATCH(A606,Lists!$C$4:$C$15,1))))</f>
        <v/>
      </c>
      <c r="C606" s="28">
        <f>IF(B606="","",IFERROR(INDEX(Lists!$A$4:$A$15,MATCH(B606,Lists!$B$4:$B$15,0)),0))</f>
        <v/>
      </c>
      <c r="D606" s="25" t="n"/>
      <c r="E606" s="24" t="n"/>
      <c r="F606" s="27">
        <f>IF(E606="","",IFERROR(INDEX(Lists!$H$4:$H$40,MATCH(E606,Lists!$F$4:$F$40,0)),"UNMAPPED"))</f>
        <v/>
      </c>
      <c r="G606" s="25" t="n"/>
      <c r="H606" s="25" t="n"/>
      <c r="I606" s="25" t="n"/>
      <c r="J606" s="25" t="n"/>
      <c r="K606" s="25" t="n"/>
      <c r="L606" s="29" t="n"/>
      <c r="M606" s="25" t="n"/>
      <c r="N606" s="30" t="n"/>
      <c r="O606" s="31">
        <f>IF(N606="","",IF(G606="Revenue",ROUND(N606*VATRate,2),0))</f>
        <v/>
      </c>
      <c r="P606" s="31">
        <f>IF(N606="","",N606+O606)</f>
        <v/>
      </c>
    </row>
    <row r="607">
      <c r="A607" s="26" t="n"/>
      <c r="B607" s="27">
        <f>IF(A607="","",IF(OR(A607&lt;MIN(Lists!$C$4:$C$15),A607&gt;MAX(Lists!$D$4:$D$15)),"No period",INDEX(Lists!$B$4:$B$15,MATCH(A607,Lists!$C$4:$C$15,1))))</f>
        <v/>
      </c>
      <c r="C607" s="28">
        <f>IF(B607="","",IFERROR(INDEX(Lists!$A$4:$A$15,MATCH(B607,Lists!$B$4:$B$15,0)),0))</f>
        <v/>
      </c>
      <c r="D607" s="25" t="n"/>
      <c r="E607" s="24" t="n"/>
      <c r="F607" s="27">
        <f>IF(E607="","",IFERROR(INDEX(Lists!$H$4:$H$40,MATCH(E607,Lists!$F$4:$F$40,0)),"UNMAPPED"))</f>
        <v/>
      </c>
      <c r="G607" s="25" t="n"/>
      <c r="H607" s="25" t="n"/>
      <c r="I607" s="25" t="n"/>
      <c r="J607" s="25" t="n"/>
      <c r="K607" s="25" t="n"/>
      <c r="L607" s="29" t="n"/>
      <c r="M607" s="25" t="n"/>
      <c r="N607" s="30" t="n"/>
      <c r="O607" s="31">
        <f>IF(N607="","",IF(G607="Revenue",ROUND(N607*VATRate,2),0))</f>
        <v/>
      </c>
      <c r="P607" s="31">
        <f>IF(N607="","",N607+O607)</f>
        <v/>
      </c>
    </row>
    <row r="608">
      <c r="A608" s="26" t="n"/>
      <c r="B608" s="27">
        <f>IF(A608="","",IF(OR(A608&lt;MIN(Lists!$C$4:$C$15),A608&gt;MAX(Lists!$D$4:$D$15)),"No period",INDEX(Lists!$B$4:$B$15,MATCH(A608,Lists!$C$4:$C$15,1))))</f>
        <v/>
      </c>
      <c r="C608" s="28">
        <f>IF(B608="","",IFERROR(INDEX(Lists!$A$4:$A$15,MATCH(B608,Lists!$B$4:$B$15,0)),0))</f>
        <v/>
      </c>
      <c r="D608" s="25" t="n"/>
      <c r="E608" s="24" t="n"/>
      <c r="F608" s="27">
        <f>IF(E608="","",IFERROR(INDEX(Lists!$H$4:$H$40,MATCH(E608,Lists!$F$4:$F$40,0)),"UNMAPPED"))</f>
        <v/>
      </c>
      <c r="G608" s="25" t="n"/>
      <c r="H608" s="25" t="n"/>
      <c r="I608" s="25" t="n"/>
      <c r="J608" s="25" t="n"/>
      <c r="K608" s="25" t="n"/>
      <c r="L608" s="29" t="n"/>
      <c r="M608" s="25" t="n"/>
      <c r="N608" s="30" t="n"/>
      <c r="O608" s="31">
        <f>IF(N608="","",IF(G608="Revenue",ROUND(N608*VATRate,2),0))</f>
        <v/>
      </c>
      <c r="P608" s="31">
        <f>IF(N608="","",N608+O608)</f>
        <v/>
      </c>
    </row>
    <row r="609">
      <c r="A609" s="26" t="n"/>
      <c r="B609" s="27">
        <f>IF(A609="","",IF(OR(A609&lt;MIN(Lists!$C$4:$C$15),A609&gt;MAX(Lists!$D$4:$D$15)),"No period",INDEX(Lists!$B$4:$B$15,MATCH(A609,Lists!$C$4:$C$15,1))))</f>
        <v/>
      </c>
      <c r="C609" s="28">
        <f>IF(B609="","",IFERROR(INDEX(Lists!$A$4:$A$15,MATCH(B609,Lists!$B$4:$B$15,0)),0))</f>
        <v/>
      </c>
      <c r="D609" s="25" t="n"/>
      <c r="E609" s="24" t="n"/>
      <c r="F609" s="27">
        <f>IF(E609="","",IFERROR(INDEX(Lists!$H$4:$H$40,MATCH(E609,Lists!$F$4:$F$40,0)),"UNMAPPED"))</f>
        <v/>
      </c>
      <c r="G609" s="25" t="n"/>
      <c r="H609" s="25" t="n"/>
      <c r="I609" s="25" t="n"/>
      <c r="J609" s="25" t="n"/>
      <c r="K609" s="25" t="n"/>
      <c r="L609" s="29" t="n"/>
      <c r="M609" s="25" t="n"/>
      <c r="N609" s="30" t="n"/>
      <c r="O609" s="31">
        <f>IF(N609="","",IF(G609="Revenue",ROUND(N609*VATRate,2),0))</f>
        <v/>
      </c>
      <c r="P609" s="31">
        <f>IF(N609="","",N609+O609)</f>
        <v/>
      </c>
    </row>
    <row r="610">
      <c r="A610" s="26" t="n"/>
      <c r="B610" s="27">
        <f>IF(A610="","",IF(OR(A610&lt;MIN(Lists!$C$4:$C$15),A610&gt;MAX(Lists!$D$4:$D$15)),"No period",INDEX(Lists!$B$4:$B$15,MATCH(A610,Lists!$C$4:$C$15,1))))</f>
        <v/>
      </c>
      <c r="C610" s="28">
        <f>IF(B610="","",IFERROR(INDEX(Lists!$A$4:$A$15,MATCH(B610,Lists!$B$4:$B$15,0)),0))</f>
        <v/>
      </c>
      <c r="D610" s="25" t="n"/>
      <c r="E610" s="24" t="n"/>
      <c r="F610" s="27">
        <f>IF(E610="","",IFERROR(INDEX(Lists!$H$4:$H$40,MATCH(E610,Lists!$F$4:$F$40,0)),"UNMAPPED"))</f>
        <v/>
      </c>
      <c r="G610" s="25" t="n"/>
      <c r="H610" s="25" t="n"/>
      <c r="I610" s="25" t="n"/>
      <c r="J610" s="25" t="n"/>
      <c r="K610" s="25" t="n"/>
      <c r="L610" s="29" t="n"/>
      <c r="M610" s="25" t="n"/>
      <c r="N610" s="30" t="n"/>
      <c r="O610" s="31">
        <f>IF(N610="","",IF(G610="Revenue",ROUND(N610*VATRate,2),0))</f>
        <v/>
      </c>
      <c r="P610" s="31">
        <f>IF(N610="","",N610+O610)</f>
        <v/>
      </c>
    </row>
    <row r="611">
      <c r="A611" s="26" t="n"/>
      <c r="B611" s="27">
        <f>IF(A611="","",IF(OR(A611&lt;MIN(Lists!$C$4:$C$15),A611&gt;MAX(Lists!$D$4:$D$15)),"No period",INDEX(Lists!$B$4:$B$15,MATCH(A611,Lists!$C$4:$C$15,1))))</f>
        <v/>
      </c>
      <c r="C611" s="28">
        <f>IF(B611="","",IFERROR(INDEX(Lists!$A$4:$A$15,MATCH(B611,Lists!$B$4:$B$15,0)),0))</f>
        <v/>
      </c>
      <c r="D611" s="25" t="n"/>
      <c r="E611" s="24" t="n"/>
      <c r="F611" s="27">
        <f>IF(E611="","",IFERROR(INDEX(Lists!$H$4:$H$40,MATCH(E611,Lists!$F$4:$F$40,0)),"UNMAPPED"))</f>
        <v/>
      </c>
      <c r="G611" s="25" t="n"/>
      <c r="H611" s="25" t="n"/>
      <c r="I611" s="25" t="n"/>
      <c r="J611" s="25" t="n"/>
      <c r="K611" s="25" t="n"/>
      <c r="L611" s="29" t="n"/>
      <c r="M611" s="25" t="n"/>
      <c r="N611" s="30" t="n"/>
      <c r="O611" s="31">
        <f>IF(N611="","",IF(G611="Revenue",ROUND(N611*VATRate,2),0))</f>
        <v/>
      </c>
      <c r="P611" s="31">
        <f>IF(N611="","",N611+O611)</f>
        <v/>
      </c>
    </row>
    <row r="612">
      <c r="A612" s="26" t="n"/>
      <c r="B612" s="27">
        <f>IF(A612="","",IF(OR(A612&lt;MIN(Lists!$C$4:$C$15),A612&gt;MAX(Lists!$D$4:$D$15)),"No period",INDEX(Lists!$B$4:$B$15,MATCH(A612,Lists!$C$4:$C$15,1))))</f>
        <v/>
      </c>
      <c r="C612" s="28">
        <f>IF(B612="","",IFERROR(INDEX(Lists!$A$4:$A$15,MATCH(B612,Lists!$B$4:$B$15,0)),0))</f>
        <v/>
      </c>
      <c r="D612" s="25" t="n"/>
      <c r="E612" s="24" t="n"/>
      <c r="F612" s="27">
        <f>IF(E612="","",IFERROR(INDEX(Lists!$H$4:$H$40,MATCH(E612,Lists!$F$4:$F$40,0)),"UNMAPPED"))</f>
        <v/>
      </c>
      <c r="G612" s="25" t="n"/>
      <c r="H612" s="25" t="n"/>
      <c r="I612" s="25" t="n"/>
      <c r="J612" s="25" t="n"/>
      <c r="K612" s="25" t="n"/>
      <c r="L612" s="29" t="n"/>
      <c r="M612" s="25" t="n"/>
      <c r="N612" s="30" t="n"/>
      <c r="O612" s="31">
        <f>IF(N612="","",IF(G612="Revenue",ROUND(N612*VATRate,2),0))</f>
        <v/>
      </c>
      <c r="P612" s="31">
        <f>IF(N612="","",N612+O612)</f>
        <v/>
      </c>
    </row>
    <row r="613">
      <c r="A613" s="26" t="n"/>
      <c r="B613" s="27">
        <f>IF(A613="","",IF(OR(A613&lt;MIN(Lists!$C$4:$C$15),A613&gt;MAX(Lists!$D$4:$D$15)),"No period",INDEX(Lists!$B$4:$B$15,MATCH(A613,Lists!$C$4:$C$15,1))))</f>
        <v/>
      </c>
      <c r="C613" s="28">
        <f>IF(B613="","",IFERROR(INDEX(Lists!$A$4:$A$15,MATCH(B613,Lists!$B$4:$B$15,0)),0))</f>
        <v/>
      </c>
      <c r="D613" s="25" t="n"/>
      <c r="E613" s="24" t="n"/>
      <c r="F613" s="27">
        <f>IF(E613="","",IFERROR(INDEX(Lists!$H$4:$H$40,MATCH(E613,Lists!$F$4:$F$40,0)),"UNMAPPED"))</f>
        <v/>
      </c>
      <c r="G613" s="25" t="n"/>
      <c r="H613" s="25" t="n"/>
      <c r="I613" s="25" t="n"/>
      <c r="J613" s="25" t="n"/>
      <c r="K613" s="25" t="n"/>
      <c r="L613" s="29" t="n"/>
      <c r="M613" s="25" t="n"/>
      <c r="N613" s="30" t="n"/>
      <c r="O613" s="31">
        <f>IF(N613="","",IF(G613="Revenue",ROUND(N613*VATRate,2),0))</f>
        <v/>
      </c>
      <c r="P613" s="31">
        <f>IF(N613="","",N613+O613)</f>
        <v/>
      </c>
    </row>
    <row r="614">
      <c r="A614" s="26" t="n"/>
      <c r="B614" s="27">
        <f>IF(A614="","",IF(OR(A614&lt;MIN(Lists!$C$4:$C$15),A614&gt;MAX(Lists!$D$4:$D$15)),"No period",INDEX(Lists!$B$4:$B$15,MATCH(A614,Lists!$C$4:$C$15,1))))</f>
        <v/>
      </c>
      <c r="C614" s="28">
        <f>IF(B614="","",IFERROR(INDEX(Lists!$A$4:$A$15,MATCH(B614,Lists!$B$4:$B$15,0)),0))</f>
        <v/>
      </c>
      <c r="D614" s="25" t="n"/>
      <c r="E614" s="24" t="n"/>
      <c r="F614" s="27">
        <f>IF(E614="","",IFERROR(INDEX(Lists!$H$4:$H$40,MATCH(E614,Lists!$F$4:$F$40,0)),"UNMAPPED"))</f>
        <v/>
      </c>
      <c r="G614" s="25" t="n"/>
      <c r="H614" s="25" t="n"/>
      <c r="I614" s="25" t="n"/>
      <c r="J614" s="25" t="n"/>
      <c r="K614" s="25" t="n"/>
      <c r="L614" s="29" t="n"/>
      <c r="M614" s="25" t="n"/>
      <c r="N614" s="30" t="n"/>
      <c r="O614" s="31">
        <f>IF(N614="","",IF(G614="Revenue",ROUND(N614*VATRate,2),0))</f>
        <v/>
      </c>
      <c r="P614" s="31">
        <f>IF(N614="","",N614+O614)</f>
        <v/>
      </c>
    </row>
    <row r="615">
      <c r="A615" s="26" t="n"/>
      <c r="B615" s="27">
        <f>IF(A615="","",IF(OR(A615&lt;MIN(Lists!$C$4:$C$15),A615&gt;MAX(Lists!$D$4:$D$15)),"No period",INDEX(Lists!$B$4:$B$15,MATCH(A615,Lists!$C$4:$C$15,1))))</f>
        <v/>
      </c>
      <c r="C615" s="28">
        <f>IF(B615="","",IFERROR(INDEX(Lists!$A$4:$A$15,MATCH(B615,Lists!$B$4:$B$15,0)),0))</f>
        <v/>
      </c>
      <c r="D615" s="25" t="n"/>
      <c r="E615" s="24" t="n"/>
      <c r="F615" s="27">
        <f>IF(E615="","",IFERROR(INDEX(Lists!$H$4:$H$40,MATCH(E615,Lists!$F$4:$F$40,0)),"UNMAPPED"))</f>
        <v/>
      </c>
      <c r="G615" s="25" t="n"/>
      <c r="H615" s="25" t="n"/>
      <c r="I615" s="25" t="n"/>
      <c r="J615" s="25" t="n"/>
      <c r="K615" s="25" t="n"/>
      <c r="L615" s="29" t="n"/>
      <c r="M615" s="25" t="n"/>
      <c r="N615" s="30" t="n"/>
      <c r="O615" s="31">
        <f>IF(N615="","",IF(G615="Revenue",ROUND(N615*VATRate,2),0))</f>
        <v/>
      </c>
      <c r="P615" s="31">
        <f>IF(N615="","",N615+O615)</f>
        <v/>
      </c>
    </row>
    <row r="616">
      <c r="A616" s="26" t="n"/>
      <c r="B616" s="27">
        <f>IF(A616="","",IF(OR(A616&lt;MIN(Lists!$C$4:$C$15),A616&gt;MAX(Lists!$D$4:$D$15)),"No period",INDEX(Lists!$B$4:$B$15,MATCH(A616,Lists!$C$4:$C$15,1))))</f>
        <v/>
      </c>
      <c r="C616" s="28">
        <f>IF(B616="","",IFERROR(INDEX(Lists!$A$4:$A$15,MATCH(B616,Lists!$B$4:$B$15,0)),0))</f>
        <v/>
      </c>
      <c r="D616" s="25" t="n"/>
      <c r="E616" s="24" t="n"/>
      <c r="F616" s="27">
        <f>IF(E616="","",IFERROR(INDEX(Lists!$H$4:$H$40,MATCH(E616,Lists!$F$4:$F$40,0)),"UNMAPPED"))</f>
        <v/>
      </c>
      <c r="G616" s="25" t="n"/>
      <c r="H616" s="25" t="n"/>
      <c r="I616" s="25" t="n"/>
      <c r="J616" s="25" t="n"/>
      <c r="K616" s="25" t="n"/>
      <c r="L616" s="29" t="n"/>
      <c r="M616" s="25" t="n"/>
      <c r="N616" s="30" t="n"/>
      <c r="O616" s="31">
        <f>IF(N616="","",IF(G616="Revenue",ROUND(N616*VATRate,2),0))</f>
        <v/>
      </c>
      <c r="P616" s="31">
        <f>IF(N616="","",N616+O616)</f>
        <v/>
      </c>
    </row>
    <row r="617">
      <c r="A617" s="26" t="n"/>
      <c r="B617" s="27">
        <f>IF(A617="","",IF(OR(A617&lt;MIN(Lists!$C$4:$C$15),A617&gt;MAX(Lists!$D$4:$D$15)),"No period",INDEX(Lists!$B$4:$B$15,MATCH(A617,Lists!$C$4:$C$15,1))))</f>
        <v/>
      </c>
      <c r="C617" s="28">
        <f>IF(B617="","",IFERROR(INDEX(Lists!$A$4:$A$15,MATCH(B617,Lists!$B$4:$B$15,0)),0))</f>
        <v/>
      </c>
      <c r="D617" s="25" t="n"/>
      <c r="E617" s="24" t="n"/>
      <c r="F617" s="27">
        <f>IF(E617="","",IFERROR(INDEX(Lists!$H$4:$H$40,MATCH(E617,Lists!$F$4:$F$40,0)),"UNMAPPED"))</f>
        <v/>
      </c>
      <c r="G617" s="25" t="n"/>
      <c r="H617" s="25" t="n"/>
      <c r="I617" s="25" t="n"/>
      <c r="J617" s="25" t="n"/>
      <c r="K617" s="25" t="n"/>
      <c r="L617" s="29" t="n"/>
      <c r="M617" s="25" t="n"/>
      <c r="N617" s="30" t="n"/>
      <c r="O617" s="31">
        <f>IF(N617="","",IF(G617="Revenue",ROUND(N617*VATRate,2),0))</f>
        <v/>
      </c>
      <c r="P617" s="31">
        <f>IF(N617="","",N617+O617)</f>
        <v/>
      </c>
    </row>
    <row r="618">
      <c r="A618" s="26" t="n"/>
      <c r="B618" s="27">
        <f>IF(A618="","",IF(OR(A618&lt;MIN(Lists!$C$4:$C$15),A618&gt;MAX(Lists!$D$4:$D$15)),"No period",INDEX(Lists!$B$4:$B$15,MATCH(A618,Lists!$C$4:$C$15,1))))</f>
        <v/>
      </c>
      <c r="C618" s="28">
        <f>IF(B618="","",IFERROR(INDEX(Lists!$A$4:$A$15,MATCH(B618,Lists!$B$4:$B$15,0)),0))</f>
        <v/>
      </c>
      <c r="D618" s="25" t="n"/>
      <c r="E618" s="24" t="n"/>
      <c r="F618" s="27">
        <f>IF(E618="","",IFERROR(INDEX(Lists!$H$4:$H$40,MATCH(E618,Lists!$F$4:$F$40,0)),"UNMAPPED"))</f>
        <v/>
      </c>
      <c r="G618" s="25" t="n"/>
      <c r="H618" s="25" t="n"/>
      <c r="I618" s="25" t="n"/>
      <c r="J618" s="25" t="n"/>
      <c r="K618" s="25" t="n"/>
      <c r="L618" s="29" t="n"/>
      <c r="M618" s="25" t="n"/>
      <c r="N618" s="30" t="n"/>
      <c r="O618" s="31">
        <f>IF(N618="","",IF(G618="Revenue",ROUND(N618*VATRate,2),0))</f>
        <v/>
      </c>
      <c r="P618" s="31">
        <f>IF(N618="","",N618+O618)</f>
        <v/>
      </c>
    </row>
    <row r="619">
      <c r="A619" s="26" t="n"/>
      <c r="B619" s="27">
        <f>IF(A619="","",IF(OR(A619&lt;MIN(Lists!$C$4:$C$15),A619&gt;MAX(Lists!$D$4:$D$15)),"No period",INDEX(Lists!$B$4:$B$15,MATCH(A619,Lists!$C$4:$C$15,1))))</f>
        <v/>
      </c>
      <c r="C619" s="28">
        <f>IF(B619="","",IFERROR(INDEX(Lists!$A$4:$A$15,MATCH(B619,Lists!$B$4:$B$15,0)),0))</f>
        <v/>
      </c>
      <c r="D619" s="25" t="n"/>
      <c r="E619" s="24" t="n"/>
      <c r="F619" s="27">
        <f>IF(E619="","",IFERROR(INDEX(Lists!$H$4:$H$40,MATCH(E619,Lists!$F$4:$F$40,0)),"UNMAPPED"))</f>
        <v/>
      </c>
      <c r="G619" s="25" t="n"/>
      <c r="H619" s="25" t="n"/>
      <c r="I619" s="25" t="n"/>
      <c r="J619" s="25" t="n"/>
      <c r="K619" s="25" t="n"/>
      <c r="L619" s="29" t="n"/>
      <c r="M619" s="25" t="n"/>
      <c r="N619" s="30" t="n"/>
      <c r="O619" s="31">
        <f>IF(N619="","",IF(G619="Revenue",ROUND(N619*VATRate,2),0))</f>
        <v/>
      </c>
      <c r="P619" s="31">
        <f>IF(N619="","",N619+O619)</f>
        <v/>
      </c>
    </row>
    <row r="620">
      <c r="A620" s="26" t="n"/>
      <c r="B620" s="27">
        <f>IF(A620="","",IF(OR(A620&lt;MIN(Lists!$C$4:$C$15),A620&gt;MAX(Lists!$D$4:$D$15)),"No period",INDEX(Lists!$B$4:$B$15,MATCH(A620,Lists!$C$4:$C$15,1))))</f>
        <v/>
      </c>
      <c r="C620" s="28">
        <f>IF(B620="","",IFERROR(INDEX(Lists!$A$4:$A$15,MATCH(B620,Lists!$B$4:$B$15,0)),0))</f>
        <v/>
      </c>
      <c r="D620" s="25" t="n"/>
      <c r="E620" s="24" t="n"/>
      <c r="F620" s="27">
        <f>IF(E620="","",IFERROR(INDEX(Lists!$H$4:$H$40,MATCH(E620,Lists!$F$4:$F$40,0)),"UNMAPPED"))</f>
        <v/>
      </c>
      <c r="G620" s="25" t="n"/>
      <c r="H620" s="25" t="n"/>
      <c r="I620" s="25" t="n"/>
      <c r="J620" s="25" t="n"/>
      <c r="K620" s="25" t="n"/>
      <c r="L620" s="29" t="n"/>
      <c r="M620" s="25" t="n"/>
      <c r="N620" s="30" t="n"/>
      <c r="O620" s="31">
        <f>IF(N620="","",IF(G620="Revenue",ROUND(N620*VATRate,2),0))</f>
        <v/>
      </c>
      <c r="P620" s="31">
        <f>IF(N620="","",N620+O620)</f>
        <v/>
      </c>
    </row>
    <row r="621">
      <c r="A621" s="26" t="n"/>
      <c r="B621" s="27">
        <f>IF(A621="","",IF(OR(A621&lt;MIN(Lists!$C$4:$C$15),A621&gt;MAX(Lists!$D$4:$D$15)),"No period",INDEX(Lists!$B$4:$B$15,MATCH(A621,Lists!$C$4:$C$15,1))))</f>
        <v/>
      </c>
      <c r="C621" s="28">
        <f>IF(B621="","",IFERROR(INDEX(Lists!$A$4:$A$15,MATCH(B621,Lists!$B$4:$B$15,0)),0))</f>
        <v/>
      </c>
      <c r="D621" s="25" t="n"/>
      <c r="E621" s="24" t="n"/>
      <c r="F621" s="27">
        <f>IF(E621="","",IFERROR(INDEX(Lists!$H$4:$H$40,MATCH(E621,Lists!$F$4:$F$40,0)),"UNMAPPED"))</f>
        <v/>
      </c>
      <c r="G621" s="25" t="n"/>
      <c r="H621" s="25" t="n"/>
      <c r="I621" s="25" t="n"/>
      <c r="J621" s="25" t="n"/>
      <c r="K621" s="25" t="n"/>
      <c r="L621" s="29" t="n"/>
      <c r="M621" s="25" t="n"/>
      <c r="N621" s="30" t="n"/>
      <c r="O621" s="31">
        <f>IF(N621="","",IF(G621="Revenue",ROUND(N621*VATRate,2),0))</f>
        <v/>
      </c>
      <c r="P621" s="31">
        <f>IF(N621="","",N621+O621)</f>
        <v/>
      </c>
    </row>
    <row r="622">
      <c r="A622" s="26" t="n"/>
      <c r="B622" s="27">
        <f>IF(A622="","",IF(OR(A622&lt;MIN(Lists!$C$4:$C$15),A622&gt;MAX(Lists!$D$4:$D$15)),"No period",INDEX(Lists!$B$4:$B$15,MATCH(A622,Lists!$C$4:$C$15,1))))</f>
        <v/>
      </c>
      <c r="C622" s="28">
        <f>IF(B622="","",IFERROR(INDEX(Lists!$A$4:$A$15,MATCH(B622,Lists!$B$4:$B$15,0)),0))</f>
        <v/>
      </c>
      <c r="D622" s="25" t="n"/>
      <c r="E622" s="24" t="n"/>
      <c r="F622" s="27">
        <f>IF(E622="","",IFERROR(INDEX(Lists!$H$4:$H$40,MATCH(E622,Lists!$F$4:$F$40,0)),"UNMAPPED"))</f>
        <v/>
      </c>
      <c r="G622" s="25" t="n"/>
      <c r="H622" s="25" t="n"/>
      <c r="I622" s="25" t="n"/>
      <c r="J622" s="25" t="n"/>
      <c r="K622" s="25" t="n"/>
      <c r="L622" s="29" t="n"/>
      <c r="M622" s="25" t="n"/>
      <c r="N622" s="30" t="n"/>
      <c r="O622" s="31">
        <f>IF(N622="","",IF(G622="Revenue",ROUND(N622*VATRate,2),0))</f>
        <v/>
      </c>
      <c r="P622" s="31">
        <f>IF(N622="","",N622+O622)</f>
        <v/>
      </c>
    </row>
    <row r="623">
      <c r="A623" s="26" t="n"/>
      <c r="B623" s="27">
        <f>IF(A623="","",IF(OR(A623&lt;MIN(Lists!$C$4:$C$15),A623&gt;MAX(Lists!$D$4:$D$15)),"No period",INDEX(Lists!$B$4:$B$15,MATCH(A623,Lists!$C$4:$C$15,1))))</f>
        <v/>
      </c>
      <c r="C623" s="28">
        <f>IF(B623="","",IFERROR(INDEX(Lists!$A$4:$A$15,MATCH(B623,Lists!$B$4:$B$15,0)),0))</f>
        <v/>
      </c>
      <c r="D623" s="25" t="n"/>
      <c r="E623" s="24" t="n"/>
      <c r="F623" s="27">
        <f>IF(E623="","",IFERROR(INDEX(Lists!$H$4:$H$40,MATCH(E623,Lists!$F$4:$F$40,0)),"UNMAPPED"))</f>
        <v/>
      </c>
      <c r="G623" s="25" t="n"/>
      <c r="H623" s="25" t="n"/>
      <c r="I623" s="25" t="n"/>
      <c r="J623" s="25" t="n"/>
      <c r="K623" s="25" t="n"/>
      <c r="L623" s="29" t="n"/>
      <c r="M623" s="25" t="n"/>
      <c r="N623" s="30" t="n"/>
      <c r="O623" s="31">
        <f>IF(N623="","",IF(G623="Revenue",ROUND(N623*VATRate,2),0))</f>
        <v/>
      </c>
      <c r="P623" s="31">
        <f>IF(N623="","",N623+O623)</f>
        <v/>
      </c>
    </row>
    <row r="624">
      <c r="A624" s="26" t="n"/>
      <c r="B624" s="27">
        <f>IF(A624="","",IF(OR(A624&lt;MIN(Lists!$C$4:$C$15),A624&gt;MAX(Lists!$D$4:$D$15)),"No period",INDEX(Lists!$B$4:$B$15,MATCH(A624,Lists!$C$4:$C$15,1))))</f>
        <v/>
      </c>
      <c r="C624" s="28">
        <f>IF(B624="","",IFERROR(INDEX(Lists!$A$4:$A$15,MATCH(B624,Lists!$B$4:$B$15,0)),0))</f>
        <v/>
      </c>
      <c r="D624" s="25" t="n"/>
      <c r="E624" s="24" t="n"/>
      <c r="F624" s="27">
        <f>IF(E624="","",IFERROR(INDEX(Lists!$H$4:$H$40,MATCH(E624,Lists!$F$4:$F$40,0)),"UNMAPPED"))</f>
        <v/>
      </c>
      <c r="G624" s="25" t="n"/>
      <c r="H624" s="25" t="n"/>
      <c r="I624" s="25" t="n"/>
      <c r="J624" s="25" t="n"/>
      <c r="K624" s="25" t="n"/>
      <c r="L624" s="29" t="n"/>
      <c r="M624" s="25" t="n"/>
      <c r="N624" s="30" t="n"/>
      <c r="O624" s="31">
        <f>IF(N624="","",IF(G624="Revenue",ROUND(N624*VATRate,2),0))</f>
        <v/>
      </c>
      <c r="P624" s="31">
        <f>IF(N624="","",N624+O624)</f>
        <v/>
      </c>
    </row>
    <row r="625">
      <c r="A625" s="26" t="n"/>
      <c r="B625" s="27">
        <f>IF(A625="","",IF(OR(A625&lt;MIN(Lists!$C$4:$C$15),A625&gt;MAX(Lists!$D$4:$D$15)),"No period",INDEX(Lists!$B$4:$B$15,MATCH(A625,Lists!$C$4:$C$15,1))))</f>
        <v/>
      </c>
      <c r="C625" s="28">
        <f>IF(B625="","",IFERROR(INDEX(Lists!$A$4:$A$15,MATCH(B625,Lists!$B$4:$B$15,0)),0))</f>
        <v/>
      </c>
      <c r="D625" s="25" t="n"/>
      <c r="E625" s="24" t="n"/>
      <c r="F625" s="27">
        <f>IF(E625="","",IFERROR(INDEX(Lists!$H$4:$H$40,MATCH(E625,Lists!$F$4:$F$40,0)),"UNMAPPED"))</f>
        <v/>
      </c>
      <c r="G625" s="25" t="n"/>
      <c r="H625" s="25" t="n"/>
      <c r="I625" s="25" t="n"/>
      <c r="J625" s="25" t="n"/>
      <c r="K625" s="25" t="n"/>
      <c r="L625" s="29" t="n"/>
      <c r="M625" s="25" t="n"/>
      <c r="N625" s="30" t="n"/>
      <c r="O625" s="31">
        <f>IF(N625="","",IF(G625="Revenue",ROUND(N625*VATRate,2),0))</f>
        <v/>
      </c>
      <c r="P625" s="31">
        <f>IF(N625="","",N625+O625)</f>
        <v/>
      </c>
    </row>
    <row r="626">
      <c r="A626" s="26" t="n"/>
      <c r="B626" s="27">
        <f>IF(A626="","",IF(OR(A626&lt;MIN(Lists!$C$4:$C$15),A626&gt;MAX(Lists!$D$4:$D$15)),"No period",INDEX(Lists!$B$4:$B$15,MATCH(A626,Lists!$C$4:$C$15,1))))</f>
        <v/>
      </c>
      <c r="C626" s="28">
        <f>IF(B626="","",IFERROR(INDEX(Lists!$A$4:$A$15,MATCH(B626,Lists!$B$4:$B$15,0)),0))</f>
        <v/>
      </c>
      <c r="D626" s="25" t="n"/>
      <c r="E626" s="24" t="n"/>
      <c r="F626" s="27">
        <f>IF(E626="","",IFERROR(INDEX(Lists!$H$4:$H$40,MATCH(E626,Lists!$F$4:$F$40,0)),"UNMAPPED"))</f>
        <v/>
      </c>
      <c r="G626" s="25" t="n"/>
      <c r="H626" s="25" t="n"/>
      <c r="I626" s="25" t="n"/>
      <c r="J626" s="25" t="n"/>
      <c r="K626" s="25" t="n"/>
      <c r="L626" s="29" t="n"/>
      <c r="M626" s="25" t="n"/>
      <c r="N626" s="30" t="n"/>
      <c r="O626" s="31">
        <f>IF(N626="","",IF(G626="Revenue",ROUND(N626*VATRate,2),0))</f>
        <v/>
      </c>
      <c r="P626" s="31">
        <f>IF(N626="","",N626+O626)</f>
        <v/>
      </c>
    </row>
    <row r="627">
      <c r="A627" s="26" t="n"/>
      <c r="B627" s="27">
        <f>IF(A627="","",IF(OR(A627&lt;MIN(Lists!$C$4:$C$15),A627&gt;MAX(Lists!$D$4:$D$15)),"No period",INDEX(Lists!$B$4:$B$15,MATCH(A627,Lists!$C$4:$C$15,1))))</f>
        <v/>
      </c>
      <c r="C627" s="28">
        <f>IF(B627="","",IFERROR(INDEX(Lists!$A$4:$A$15,MATCH(B627,Lists!$B$4:$B$15,0)),0))</f>
        <v/>
      </c>
      <c r="D627" s="25" t="n"/>
      <c r="E627" s="24" t="n"/>
      <c r="F627" s="27">
        <f>IF(E627="","",IFERROR(INDEX(Lists!$H$4:$H$40,MATCH(E627,Lists!$F$4:$F$40,0)),"UNMAPPED"))</f>
        <v/>
      </c>
      <c r="G627" s="25" t="n"/>
      <c r="H627" s="25" t="n"/>
      <c r="I627" s="25" t="n"/>
      <c r="J627" s="25" t="n"/>
      <c r="K627" s="25" t="n"/>
      <c r="L627" s="29" t="n"/>
      <c r="M627" s="25" t="n"/>
      <c r="N627" s="30" t="n"/>
      <c r="O627" s="31">
        <f>IF(N627="","",IF(G627="Revenue",ROUND(N627*VATRate,2),0))</f>
        <v/>
      </c>
      <c r="P627" s="31">
        <f>IF(N627="","",N627+O627)</f>
        <v/>
      </c>
    </row>
    <row r="628">
      <c r="A628" s="26" t="n"/>
      <c r="B628" s="27">
        <f>IF(A628="","",IF(OR(A628&lt;MIN(Lists!$C$4:$C$15),A628&gt;MAX(Lists!$D$4:$D$15)),"No period",INDEX(Lists!$B$4:$B$15,MATCH(A628,Lists!$C$4:$C$15,1))))</f>
        <v/>
      </c>
      <c r="C628" s="28">
        <f>IF(B628="","",IFERROR(INDEX(Lists!$A$4:$A$15,MATCH(B628,Lists!$B$4:$B$15,0)),0))</f>
        <v/>
      </c>
      <c r="D628" s="25" t="n"/>
      <c r="E628" s="24" t="n"/>
      <c r="F628" s="27">
        <f>IF(E628="","",IFERROR(INDEX(Lists!$H$4:$H$40,MATCH(E628,Lists!$F$4:$F$40,0)),"UNMAPPED"))</f>
        <v/>
      </c>
      <c r="G628" s="25" t="n"/>
      <c r="H628" s="25" t="n"/>
      <c r="I628" s="25" t="n"/>
      <c r="J628" s="25" t="n"/>
      <c r="K628" s="25" t="n"/>
      <c r="L628" s="29" t="n"/>
      <c r="M628" s="25" t="n"/>
      <c r="N628" s="30" t="n"/>
      <c r="O628" s="31">
        <f>IF(N628="","",IF(G628="Revenue",ROUND(N628*VATRate,2),0))</f>
        <v/>
      </c>
      <c r="P628" s="31">
        <f>IF(N628="","",N628+O628)</f>
        <v/>
      </c>
    </row>
    <row r="629">
      <c r="A629" s="26" t="n"/>
      <c r="B629" s="27">
        <f>IF(A629="","",IF(OR(A629&lt;MIN(Lists!$C$4:$C$15),A629&gt;MAX(Lists!$D$4:$D$15)),"No period",INDEX(Lists!$B$4:$B$15,MATCH(A629,Lists!$C$4:$C$15,1))))</f>
        <v/>
      </c>
      <c r="C629" s="28">
        <f>IF(B629="","",IFERROR(INDEX(Lists!$A$4:$A$15,MATCH(B629,Lists!$B$4:$B$15,0)),0))</f>
        <v/>
      </c>
      <c r="D629" s="25" t="n"/>
      <c r="E629" s="24" t="n"/>
      <c r="F629" s="27">
        <f>IF(E629="","",IFERROR(INDEX(Lists!$H$4:$H$40,MATCH(E629,Lists!$F$4:$F$40,0)),"UNMAPPED"))</f>
        <v/>
      </c>
      <c r="G629" s="25" t="n"/>
      <c r="H629" s="25" t="n"/>
      <c r="I629" s="25" t="n"/>
      <c r="J629" s="25" t="n"/>
      <c r="K629" s="25" t="n"/>
      <c r="L629" s="29" t="n"/>
      <c r="M629" s="25" t="n"/>
      <c r="N629" s="30" t="n"/>
      <c r="O629" s="31">
        <f>IF(N629="","",IF(G629="Revenue",ROUND(N629*VATRate,2),0))</f>
        <v/>
      </c>
      <c r="P629" s="31">
        <f>IF(N629="","",N629+O629)</f>
        <v/>
      </c>
    </row>
    <row r="630">
      <c r="A630" s="26" t="n"/>
      <c r="B630" s="27">
        <f>IF(A630="","",IF(OR(A630&lt;MIN(Lists!$C$4:$C$15),A630&gt;MAX(Lists!$D$4:$D$15)),"No period",INDEX(Lists!$B$4:$B$15,MATCH(A630,Lists!$C$4:$C$15,1))))</f>
        <v/>
      </c>
      <c r="C630" s="28">
        <f>IF(B630="","",IFERROR(INDEX(Lists!$A$4:$A$15,MATCH(B630,Lists!$B$4:$B$15,0)),0))</f>
        <v/>
      </c>
      <c r="D630" s="25" t="n"/>
      <c r="E630" s="24" t="n"/>
      <c r="F630" s="27">
        <f>IF(E630="","",IFERROR(INDEX(Lists!$H$4:$H$40,MATCH(E630,Lists!$F$4:$F$40,0)),"UNMAPPED"))</f>
        <v/>
      </c>
      <c r="G630" s="25" t="n"/>
      <c r="H630" s="25" t="n"/>
      <c r="I630" s="25" t="n"/>
      <c r="J630" s="25" t="n"/>
      <c r="K630" s="25" t="n"/>
      <c r="L630" s="29" t="n"/>
      <c r="M630" s="25" t="n"/>
      <c r="N630" s="30" t="n"/>
      <c r="O630" s="31">
        <f>IF(N630="","",IF(G630="Revenue",ROUND(N630*VATRate,2),0))</f>
        <v/>
      </c>
      <c r="P630" s="31">
        <f>IF(N630="","",N630+O630)</f>
        <v/>
      </c>
    </row>
    <row r="631">
      <c r="A631" s="26" t="n"/>
      <c r="B631" s="27">
        <f>IF(A631="","",IF(OR(A631&lt;MIN(Lists!$C$4:$C$15),A631&gt;MAX(Lists!$D$4:$D$15)),"No period",INDEX(Lists!$B$4:$B$15,MATCH(A631,Lists!$C$4:$C$15,1))))</f>
        <v/>
      </c>
      <c r="C631" s="28">
        <f>IF(B631="","",IFERROR(INDEX(Lists!$A$4:$A$15,MATCH(B631,Lists!$B$4:$B$15,0)),0))</f>
        <v/>
      </c>
      <c r="D631" s="25" t="n"/>
      <c r="E631" s="24" t="n"/>
      <c r="F631" s="27">
        <f>IF(E631="","",IFERROR(INDEX(Lists!$H$4:$H$40,MATCH(E631,Lists!$F$4:$F$40,0)),"UNMAPPED"))</f>
        <v/>
      </c>
      <c r="G631" s="25" t="n"/>
      <c r="H631" s="25" t="n"/>
      <c r="I631" s="25" t="n"/>
      <c r="J631" s="25" t="n"/>
      <c r="K631" s="25" t="n"/>
      <c r="L631" s="29" t="n"/>
      <c r="M631" s="25" t="n"/>
      <c r="N631" s="30" t="n"/>
      <c r="O631" s="31">
        <f>IF(N631="","",IF(G631="Revenue",ROUND(N631*VATRate,2),0))</f>
        <v/>
      </c>
      <c r="P631" s="31">
        <f>IF(N631="","",N631+O631)</f>
        <v/>
      </c>
    </row>
    <row r="632">
      <c r="A632" s="26" t="n"/>
      <c r="B632" s="27">
        <f>IF(A632="","",IF(OR(A632&lt;MIN(Lists!$C$4:$C$15),A632&gt;MAX(Lists!$D$4:$D$15)),"No period",INDEX(Lists!$B$4:$B$15,MATCH(A632,Lists!$C$4:$C$15,1))))</f>
        <v/>
      </c>
      <c r="C632" s="28">
        <f>IF(B632="","",IFERROR(INDEX(Lists!$A$4:$A$15,MATCH(B632,Lists!$B$4:$B$15,0)),0))</f>
        <v/>
      </c>
      <c r="D632" s="25" t="n"/>
      <c r="E632" s="24" t="n"/>
      <c r="F632" s="27">
        <f>IF(E632="","",IFERROR(INDEX(Lists!$H$4:$H$40,MATCH(E632,Lists!$F$4:$F$40,0)),"UNMAPPED"))</f>
        <v/>
      </c>
      <c r="G632" s="25" t="n"/>
      <c r="H632" s="25" t="n"/>
      <c r="I632" s="25" t="n"/>
      <c r="J632" s="25" t="n"/>
      <c r="K632" s="25" t="n"/>
      <c r="L632" s="29" t="n"/>
      <c r="M632" s="25" t="n"/>
      <c r="N632" s="30" t="n"/>
      <c r="O632" s="31">
        <f>IF(N632="","",IF(G632="Revenue",ROUND(N632*VATRate,2),0))</f>
        <v/>
      </c>
      <c r="P632" s="31">
        <f>IF(N632="","",N632+O632)</f>
        <v/>
      </c>
    </row>
    <row r="633">
      <c r="A633" s="26" t="n"/>
      <c r="B633" s="27">
        <f>IF(A633="","",IF(OR(A633&lt;MIN(Lists!$C$4:$C$15),A633&gt;MAX(Lists!$D$4:$D$15)),"No period",INDEX(Lists!$B$4:$B$15,MATCH(A633,Lists!$C$4:$C$15,1))))</f>
        <v/>
      </c>
      <c r="C633" s="28">
        <f>IF(B633="","",IFERROR(INDEX(Lists!$A$4:$A$15,MATCH(B633,Lists!$B$4:$B$15,0)),0))</f>
        <v/>
      </c>
      <c r="D633" s="25" t="n"/>
      <c r="E633" s="24" t="n"/>
      <c r="F633" s="27">
        <f>IF(E633="","",IFERROR(INDEX(Lists!$H$4:$H$40,MATCH(E633,Lists!$F$4:$F$40,0)),"UNMAPPED"))</f>
        <v/>
      </c>
      <c r="G633" s="25" t="n"/>
      <c r="H633" s="25" t="n"/>
      <c r="I633" s="25" t="n"/>
      <c r="J633" s="25" t="n"/>
      <c r="K633" s="25" t="n"/>
      <c r="L633" s="29" t="n"/>
      <c r="M633" s="25" t="n"/>
      <c r="N633" s="30" t="n"/>
      <c r="O633" s="31">
        <f>IF(N633="","",IF(G633="Revenue",ROUND(N633*VATRate,2),0))</f>
        <v/>
      </c>
      <c r="P633" s="31">
        <f>IF(N633="","",N633+O633)</f>
        <v/>
      </c>
    </row>
    <row r="634">
      <c r="A634" s="26" t="n"/>
      <c r="B634" s="27">
        <f>IF(A634="","",IF(OR(A634&lt;MIN(Lists!$C$4:$C$15),A634&gt;MAX(Lists!$D$4:$D$15)),"No period",INDEX(Lists!$B$4:$B$15,MATCH(A634,Lists!$C$4:$C$15,1))))</f>
        <v/>
      </c>
      <c r="C634" s="28">
        <f>IF(B634="","",IFERROR(INDEX(Lists!$A$4:$A$15,MATCH(B634,Lists!$B$4:$B$15,0)),0))</f>
        <v/>
      </c>
      <c r="D634" s="25" t="n"/>
      <c r="E634" s="24" t="n"/>
      <c r="F634" s="27">
        <f>IF(E634="","",IFERROR(INDEX(Lists!$H$4:$H$40,MATCH(E634,Lists!$F$4:$F$40,0)),"UNMAPPED"))</f>
        <v/>
      </c>
      <c r="G634" s="25" t="n"/>
      <c r="H634" s="25" t="n"/>
      <c r="I634" s="25" t="n"/>
      <c r="J634" s="25" t="n"/>
      <c r="K634" s="25" t="n"/>
      <c r="L634" s="29" t="n"/>
      <c r="M634" s="25" t="n"/>
      <c r="N634" s="30" t="n"/>
      <c r="O634" s="31">
        <f>IF(N634="","",IF(G634="Revenue",ROUND(N634*VATRate,2),0))</f>
        <v/>
      </c>
      <c r="P634" s="31">
        <f>IF(N634="","",N634+O634)</f>
        <v/>
      </c>
    </row>
    <row r="635">
      <c r="A635" s="26" t="n"/>
      <c r="B635" s="27">
        <f>IF(A635="","",IF(OR(A635&lt;MIN(Lists!$C$4:$C$15),A635&gt;MAX(Lists!$D$4:$D$15)),"No period",INDEX(Lists!$B$4:$B$15,MATCH(A635,Lists!$C$4:$C$15,1))))</f>
        <v/>
      </c>
      <c r="C635" s="28">
        <f>IF(B635="","",IFERROR(INDEX(Lists!$A$4:$A$15,MATCH(B635,Lists!$B$4:$B$15,0)),0))</f>
        <v/>
      </c>
      <c r="D635" s="25" t="n"/>
      <c r="E635" s="24" t="n"/>
      <c r="F635" s="27">
        <f>IF(E635="","",IFERROR(INDEX(Lists!$H$4:$H$40,MATCH(E635,Lists!$F$4:$F$40,0)),"UNMAPPED"))</f>
        <v/>
      </c>
      <c r="G635" s="25" t="n"/>
      <c r="H635" s="25" t="n"/>
      <c r="I635" s="25" t="n"/>
      <c r="J635" s="25" t="n"/>
      <c r="K635" s="25" t="n"/>
      <c r="L635" s="29" t="n"/>
      <c r="M635" s="25" t="n"/>
      <c r="N635" s="30" t="n"/>
      <c r="O635" s="31">
        <f>IF(N635="","",IF(G635="Revenue",ROUND(N635*VATRate,2),0))</f>
        <v/>
      </c>
      <c r="P635" s="31">
        <f>IF(N635="","",N635+O635)</f>
        <v/>
      </c>
    </row>
    <row r="636">
      <c r="A636" s="26" t="n"/>
      <c r="B636" s="27">
        <f>IF(A636="","",IF(OR(A636&lt;MIN(Lists!$C$4:$C$15),A636&gt;MAX(Lists!$D$4:$D$15)),"No period",INDEX(Lists!$B$4:$B$15,MATCH(A636,Lists!$C$4:$C$15,1))))</f>
        <v/>
      </c>
      <c r="C636" s="28">
        <f>IF(B636="","",IFERROR(INDEX(Lists!$A$4:$A$15,MATCH(B636,Lists!$B$4:$B$15,0)),0))</f>
        <v/>
      </c>
      <c r="D636" s="25" t="n"/>
      <c r="E636" s="24" t="n"/>
      <c r="F636" s="27">
        <f>IF(E636="","",IFERROR(INDEX(Lists!$H$4:$H$40,MATCH(E636,Lists!$F$4:$F$40,0)),"UNMAPPED"))</f>
        <v/>
      </c>
      <c r="G636" s="25" t="n"/>
      <c r="H636" s="25" t="n"/>
      <c r="I636" s="25" t="n"/>
      <c r="J636" s="25" t="n"/>
      <c r="K636" s="25" t="n"/>
      <c r="L636" s="29" t="n"/>
      <c r="M636" s="25" t="n"/>
      <c r="N636" s="30" t="n"/>
      <c r="O636" s="31">
        <f>IF(N636="","",IF(G636="Revenue",ROUND(N636*VATRate,2),0))</f>
        <v/>
      </c>
      <c r="P636" s="31">
        <f>IF(N636="","",N636+O636)</f>
        <v/>
      </c>
    </row>
    <row r="637">
      <c r="A637" s="26" t="n"/>
      <c r="B637" s="27">
        <f>IF(A637="","",IF(OR(A637&lt;MIN(Lists!$C$4:$C$15),A637&gt;MAX(Lists!$D$4:$D$15)),"No period",INDEX(Lists!$B$4:$B$15,MATCH(A637,Lists!$C$4:$C$15,1))))</f>
        <v/>
      </c>
      <c r="C637" s="28">
        <f>IF(B637="","",IFERROR(INDEX(Lists!$A$4:$A$15,MATCH(B637,Lists!$B$4:$B$15,0)),0))</f>
        <v/>
      </c>
      <c r="D637" s="25" t="n"/>
      <c r="E637" s="24" t="n"/>
      <c r="F637" s="27">
        <f>IF(E637="","",IFERROR(INDEX(Lists!$H$4:$H$40,MATCH(E637,Lists!$F$4:$F$40,0)),"UNMAPPED"))</f>
        <v/>
      </c>
      <c r="G637" s="25" t="n"/>
      <c r="H637" s="25" t="n"/>
      <c r="I637" s="25" t="n"/>
      <c r="J637" s="25" t="n"/>
      <c r="K637" s="25" t="n"/>
      <c r="L637" s="29" t="n"/>
      <c r="M637" s="25" t="n"/>
      <c r="N637" s="30" t="n"/>
      <c r="O637" s="31">
        <f>IF(N637="","",IF(G637="Revenue",ROUND(N637*VATRate,2),0))</f>
        <v/>
      </c>
      <c r="P637" s="31">
        <f>IF(N637="","",N637+O637)</f>
        <v/>
      </c>
    </row>
    <row r="638">
      <c r="A638" s="26" t="n"/>
      <c r="B638" s="27">
        <f>IF(A638="","",IF(OR(A638&lt;MIN(Lists!$C$4:$C$15),A638&gt;MAX(Lists!$D$4:$D$15)),"No period",INDEX(Lists!$B$4:$B$15,MATCH(A638,Lists!$C$4:$C$15,1))))</f>
        <v/>
      </c>
      <c r="C638" s="28">
        <f>IF(B638="","",IFERROR(INDEX(Lists!$A$4:$A$15,MATCH(B638,Lists!$B$4:$B$15,0)),0))</f>
        <v/>
      </c>
      <c r="D638" s="25" t="n"/>
      <c r="E638" s="24" t="n"/>
      <c r="F638" s="27">
        <f>IF(E638="","",IFERROR(INDEX(Lists!$H$4:$H$40,MATCH(E638,Lists!$F$4:$F$40,0)),"UNMAPPED"))</f>
        <v/>
      </c>
      <c r="G638" s="25" t="n"/>
      <c r="H638" s="25" t="n"/>
      <c r="I638" s="25" t="n"/>
      <c r="J638" s="25" t="n"/>
      <c r="K638" s="25" t="n"/>
      <c r="L638" s="29" t="n"/>
      <c r="M638" s="25" t="n"/>
      <c r="N638" s="30" t="n"/>
      <c r="O638" s="31">
        <f>IF(N638="","",IF(G638="Revenue",ROUND(N638*VATRate,2),0))</f>
        <v/>
      </c>
      <c r="P638" s="31">
        <f>IF(N638="","",N638+O638)</f>
        <v/>
      </c>
    </row>
    <row r="639">
      <c r="A639" s="26" t="n"/>
      <c r="B639" s="27">
        <f>IF(A639="","",IF(OR(A639&lt;MIN(Lists!$C$4:$C$15),A639&gt;MAX(Lists!$D$4:$D$15)),"No period",INDEX(Lists!$B$4:$B$15,MATCH(A639,Lists!$C$4:$C$15,1))))</f>
        <v/>
      </c>
      <c r="C639" s="28">
        <f>IF(B639="","",IFERROR(INDEX(Lists!$A$4:$A$15,MATCH(B639,Lists!$B$4:$B$15,0)),0))</f>
        <v/>
      </c>
      <c r="D639" s="25" t="n"/>
      <c r="E639" s="24" t="n"/>
      <c r="F639" s="27">
        <f>IF(E639="","",IFERROR(INDEX(Lists!$H$4:$H$40,MATCH(E639,Lists!$F$4:$F$40,0)),"UNMAPPED"))</f>
        <v/>
      </c>
      <c r="G639" s="25" t="n"/>
      <c r="H639" s="25" t="n"/>
      <c r="I639" s="25" t="n"/>
      <c r="J639" s="25" t="n"/>
      <c r="K639" s="25" t="n"/>
      <c r="L639" s="29" t="n"/>
      <c r="M639" s="25" t="n"/>
      <c r="N639" s="30" t="n"/>
      <c r="O639" s="31">
        <f>IF(N639="","",IF(G639="Revenue",ROUND(N639*VATRate,2),0))</f>
        <v/>
      </c>
      <c r="P639" s="31">
        <f>IF(N639="","",N639+O639)</f>
        <v/>
      </c>
    </row>
    <row r="640">
      <c r="A640" s="26" t="n"/>
      <c r="B640" s="27">
        <f>IF(A640="","",IF(OR(A640&lt;MIN(Lists!$C$4:$C$15),A640&gt;MAX(Lists!$D$4:$D$15)),"No period",INDEX(Lists!$B$4:$B$15,MATCH(A640,Lists!$C$4:$C$15,1))))</f>
        <v/>
      </c>
      <c r="C640" s="28">
        <f>IF(B640="","",IFERROR(INDEX(Lists!$A$4:$A$15,MATCH(B640,Lists!$B$4:$B$15,0)),0))</f>
        <v/>
      </c>
      <c r="D640" s="25" t="n"/>
      <c r="E640" s="24" t="n"/>
      <c r="F640" s="27">
        <f>IF(E640="","",IFERROR(INDEX(Lists!$H$4:$H$40,MATCH(E640,Lists!$F$4:$F$40,0)),"UNMAPPED"))</f>
        <v/>
      </c>
      <c r="G640" s="25" t="n"/>
      <c r="H640" s="25" t="n"/>
      <c r="I640" s="25" t="n"/>
      <c r="J640" s="25" t="n"/>
      <c r="K640" s="25" t="n"/>
      <c r="L640" s="29" t="n"/>
      <c r="M640" s="25" t="n"/>
      <c r="N640" s="30" t="n"/>
      <c r="O640" s="31">
        <f>IF(N640="","",IF(G640="Revenue",ROUND(N640*VATRate,2),0))</f>
        <v/>
      </c>
      <c r="P640" s="31">
        <f>IF(N640="","",N640+O640)</f>
        <v/>
      </c>
    </row>
    <row r="641">
      <c r="A641" s="26" t="n"/>
      <c r="B641" s="27">
        <f>IF(A641="","",IF(OR(A641&lt;MIN(Lists!$C$4:$C$15),A641&gt;MAX(Lists!$D$4:$D$15)),"No period",INDEX(Lists!$B$4:$B$15,MATCH(A641,Lists!$C$4:$C$15,1))))</f>
        <v/>
      </c>
      <c r="C641" s="28">
        <f>IF(B641="","",IFERROR(INDEX(Lists!$A$4:$A$15,MATCH(B641,Lists!$B$4:$B$15,0)),0))</f>
        <v/>
      </c>
      <c r="D641" s="25" t="n"/>
      <c r="E641" s="24" t="n"/>
      <c r="F641" s="27">
        <f>IF(E641="","",IFERROR(INDEX(Lists!$H$4:$H$40,MATCH(E641,Lists!$F$4:$F$40,0)),"UNMAPPED"))</f>
        <v/>
      </c>
      <c r="G641" s="25" t="n"/>
      <c r="H641" s="25" t="n"/>
      <c r="I641" s="25" t="n"/>
      <c r="J641" s="25" t="n"/>
      <c r="K641" s="25" t="n"/>
      <c r="L641" s="29" t="n"/>
      <c r="M641" s="25" t="n"/>
      <c r="N641" s="30" t="n"/>
      <c r="O641" s="31">
        <f>IF(N641="","",IF(G641="Revenue",ROUND(N641*VATRate,2),0))</f>
        <v/>
      </c>
      <c r="P641" s="31">
        <f>IF(N641="","",N641+O641)</f>
        <v/>
      </c>
    </row>
    <row r="642">
      <c r="A642" s="26" t="n"/>
      <c r="B642" s="27">
        <f>IF(A642="","",IF(OR(A642&lt;MIN(Lists!$C$4:$C$15),A642&gt;MAX(Lists!$D$4:$D$15)),"No period",INDEX(Lists!$B$4:$B$15,MATCH(A642,Lists!$C$4:$C$15,1))))</f>
        <v/>
      </c>
      <c r="C642" s="28">
        <f>IF(B642="","",IFERROR(INDEX(Lists!$A$4:$A$15,MATCH(B642,Lists!$B$4:$B$15,0)),0))</f>
        <v/>
      </c>
      <c r="D642" s="25" t="n"/>
      <c r="E642" s="24" t="n"/>
      <c r="F642" s="27">
        <f>IF(E642="","",IFERROR(INDEX(Lists!$H$4:$H$40,MATCH(E642,Lists!$F$4:$F$40,0)),"UNMAPPED"))</f>
        <v/>
      </c>
      <c r="G642" s="25" t="n"/>
      <c r="H642" s="25" t="n"/>
      <c r="I642" s="25" t="n"/>
      <c r="J642" s="25" t="n"/>
      <c r="K642" s="25" t="n"/>
      <c r="L642" s="29" t="n"/>
      <c r="M642" s="25" t="n"/>
      <c r="N642" s="30" t="n"/>
      <c r="O642" s="31">
        <f>IF(N642="","",IF(G642="Revenue",ROUND(N642*VATRate,2),0))</f>
        <v/>
      </c>
      <c r="P642" s="31">
        <f>IF(N642="","",N642+O642)</f>
        <v/>
      </c>
    </row>
    <row r="643">
      <c r="A643" s="26" t="n"/>
      <c r="B643" s="27">
        <f>IF(A643="","",IF(OR(A643&lt;MIN(Lists!$C$4:$C$15),A643&gt;MAX(Lists!$D$4:$D$15)),"No period",INDEX(Lists!$B$4:$B$15,MATCH(A643,Lists!$C$4:$C$15,1))))</f>
        <v/>
      </c>
      <c r="C643" s="28">
        <f>IF(B643="","",IFERROR(INDEX(Lists!$A$4:$A$15,MATCH(B643,Lists!$B$4:$B$15,0)),0))</f>
        <v/>
      </c>
      <c r="D643" s="25" t="n"/>
      <c r="E643" s="24" t="n"/>
      <c r="F643" s="27">
        <f>IF(E643="","",IFERROR(INDEX(Lists!$H$4:$H$40,MATCH(E643,Lists!$F$4:$F$40,0)),"UNMAPPED"))</f>
        <v/>
      </c>
      <c r="G643" s="25" t="n"/>
      <c r="H643" s="25" t="n"/>
      <c r="I643" s="25" t="n"/>
      <c r="J643" s="25" t="n"/>
      <c r="K643" s="25" t="n"/>
      <c r="L643" s="29" t="n"/>
      <c r="M643" s="25" t="n"/>
      <c r="N643" s="30" t="n"/>
      <c r="O643" s="31">
        <f>IF(N643="","",IF(G643="Revenue",ROUND(N643*VATRate,2),0))</f>
        <v/>
      </c>
      <c r="P643" s="31">
        <f>IF(N643="","",N643+O643)</f>
        <v/>
      </c>
    </row>
    <row r="644">
      <c r="A644" s="26" t="n"/>
      <c r="B644" s="27">
        <f>IF(A644="","",IF(OR(A644&lt;MIN(Lists!$C$4:$C$15),A644&gt;MAX(Lists!$D$4:$D$15)),"No period",INDEX(Lists!$B$4:$B$15,MATCH(A644,Lists!$C$4:$C$15,1))))</f>
        <v/>
      </c>
      <c r="C644" s="28">
        <f>IF(B644="","",IFERROR(INDEX(Lists!$A$4:$A$15,MATCH(B644,Lists!$B$4:$B$15,0)),0))</f>
        <v/>
      </c>
      <c r="D644" s="25" t="n"/>
      <c r="E644" s="24" t="n"/>
      <c r="F644" s="27">
        <f>IF(E644="","",IFERROR(INDEX(Lists!$H$4:$H$40,MATCH(E644,Lists!$F$4:$F$40,0)),"UNMAPPED"))</f>
        <v/>
      </c>
      <c r="G644" s="25" t="n"/>
      <c r="H644" s="25" t="n"/>
      <c r="I644" s="25" t="n"/>
      <c r="J644" s="25" t="n"/>
      <c r="K644" s="25" t="n"/>
      <c r="L644" s="29" t="n"/>
      <c r="M644" s="25" t="n"/>
      <c r="N644" s="30" t="n"/>
      <c r="O644" s="31">
        <f>IF(N644="","",IF(G644="Revenue",ROUND(N644*VATRate,2),0))</f>
        <v/>
      </c>
      <c r="P644" s="31">
        <f>IF(N644="","",N644+O644)</f>
        <v/>
      </c>
    </row>
    <row r="645">
      <c r="A645" s="26" t="n"/>
      <c r="B645" s="27">
        <f>IF(A645="","",IF(OR(A645&lt;MIN(Lists!$C$4:$C$15),A645&gt;MAX(Lists!$D$4:$D$15)),"No period",INDEX(Lists!$B$4:$B$15,MATCH(A645,Lists!$C$4:$C$15,1))))</f>
        <v/>
      </c>
      <c r="C645" s="28">
        <f>IF(B645="","",IFERROR(INDEX(Lists!$A$4:$A$15,MATCH(B645,Lists!$B$4:$B$15,0)),0))</f>
        <v/>
      </c>
      <c r="D645" s="25" t="n"/>
      <c r="E645" s="24" t="n"/>
      <c r="F645" s="27">
        <f>IF(E645="","",IFERROR(INDEX(Lists!$H$4:$H$40,MATCH(E645,Lists!$F$4:$F$40,0)),"UNMAPPED"))</f>
        <v/>
      </c>
      <c r="G645" s="25" t="n"/>
      <c r="H645" s="25" t="n"/>
      <c r="I645" s="25" t="n"/>
      <c r="J645" s="25" t="n"/>
      <c r="K645" s="25" t="n"/>
      <c r="L645" s="29" t="n"/>
      <c r="M645" s="25" t="n"/>
      <c r="N645" s="30" t="n"/>
      <c r="O645" s="31">
        <f>IF(N645="","",IF(G645="Revenue",ROUND(N645*VATRate,2),0))</f>
        <v/>
      </c>
      <c r="P645" s="31">
        <f>IF(N645="","",N645+O645)</f>
        <v/>
      </c>
    </row>
    <row r="646">
      <c r="A646" s="26" t="n"/>
      <c r="B646" s="27">
        <f>IF(A646="","",IF(OR(A646&lt;MIN(Lists!$C$4:$C$15),A646&gt;MAX(Lists!$D$4:$D$15)),"No period",INDEX(Lists!$B$4:$B$15,MATCH(A646,Lists!$C$4:$C$15,1))))</f>
        <v/>
      </c>
      <c r="C646" s="28">
        <f>IF(B646="","",IFERROR(INDEX(Lists!$A$4:$A$15,MATCH(B646,Lists!$B$4:$B$15,0)),0))</f>
        <v/>
      </c>
      <c r="D646" s="25" t="n"/>
      <c r="E646" s="24" t="n"/>
      <c r="F646" s="27">
        <f>IF(E646="","",IFERROR(INDEX(Lists!$H$4:$H$40,MATCH(E646,Lists!$F$4:$F$40,0)),"UNMAPPED"))</f>
        <v/>
      </c>
      <c r="G646" s="25" t="n"/>
      <c r="H646" s="25" t="n"/>
      <c r="I646" s="25" t="n"/>
      <c r="J646" s="25" t="n"/>
      <c r="K646" s="25" t="n"/>
      <c r="L646" s="29" t="n"/>
      <c r="M646" s="25" t="n"/>
      <c r="N646" s="30" t="n"/>
      <c r="O646" s="31">
        <f>IF(N646="","",IF(G646="Revenue",ROUND(N646*VATRate,2),0))</f>
        <v/>
      </c>
      <c r="P646" s="31">
        <f>IF(N646="","",N646+O646)</f>
        <v/>
      </c>
    </row>
    <row r="647">
      <c r="A647" s="26" t="n"/>
      <c r="B647" s="27">
        <f>IF(A647="","",IF(OR(A647&lt;MIN(Lists!$C$4:$C$15),A647&gt;MAX(Lists!$D$4:$D$15)),"No period",INDEX(Lists!$B$4:$B$15,MATCH(A647,Lists!$C$4:$C$15,1))))</f>
        <v/>
      </c>
      <c r="C647" s="28">
        <f>IF(B647="","",IFERROR(INDEX(Lists!$A$4:$A$15,MATCH(B647,Lists!$B$4:$B$15,0)),0))</f>
        <v/>
      </c>
      <c r="D647" s="25" t="n"/>
      <c r="E647" s="24" t="n"/>
      <c r="F647" s="27">
        <f>IF(E647="","",IFERROR(INDEX(Lists!$H$4:$H$40,MATCH(E647,Lists!$F$4:$F$40,0)),"UNMAPPED"))</f>
        <v/>
      </c>
      <c r="G647" s="25" t="n"/>
      <c r="H647" s="25" t="n"/>
      <c r="I647" s="25" t="n"/>
      <c r="J647" s="25" t="n"/>
      <c r="K647" s="25" t="n"/>
      <c r="L647" s="29" t="n"/>
      <c r="M647" s="25" t="n"/>
      <c r="N647" s="30" t="n"/>
      <c r="O647" s="31">
        <f>IF(N647="","",IF(G647="Revenue",ROUND(N647*VATRate,2),0))</f>
        <v/>
      </c>
      <c r="P647" s="31">
        <f>IF(N647="","",N647+O647)</f>
        <v/>
      </c>
    </row>
    <row r="648">
      <c r="A648" s="26" t="n"/>
      <c r="B648" s="27">
        <f>IF(A648="","",IF(OR(A648&lt;MIN(Lists!$C$4:$C$15),A648&gt;MAX(Lists!$D$4:$D$15)),"No period",INDEX(Lists!$B$4:$B$15,MATCH(A648,Lists!$C$4:$C$15,1))))</f>
        <v/>
      </c>
      <c r="C648" s="28">
        <f>IF(B648="","",IFERROR(INDEX(Lists!$A$4:$A$15,MATCH(B648,Lists!$B$4:$B$15,0)),0))</f>
        <v/>
      </c>
      <c r="D648" s="25" t="n"/>
      <c r="E648" s="24" t="n"/>
      <c r="F648" s="27">
        <f>IF(E648="","",IFERROR(INDEX(Lists!$H$4:$H$40,MATCH(E648,Lists!$F$4:$F$40,0)),"UNMAPPED"))</f>
        <v/>
      </c>
      <c r="G648" s="25" t="n"/>
      <c r="H648" s="25" t="n"/>
      <c r="I648" s="25" t="n"/>
      <c r="J648" s="25" t="n"/>
      <c r="K648" s="25" t="n"/>
      <c r="L648" s="29" t="n"/>
      <c r="M648" s="25" t="n"/>
      <c r="N648" s="30" t="n"/>
      <c r="O648" s="31">
        <f>IF(N648="","",IF(G648="Revenue",ROUND(N648*VATRate,2),0))</f>
        <v/>
      </c>
      <c r="P648" s="31">
        <f>IF(N648="","",N648+O648)</f>
        <v/>
      </c>
    </row>
    <row r="649">
      <c r="A649" s="26" t="n"/>
      <c r="B649" s="27">
        <f>IF(A649="","",IF(OR(A649&lt;MIN(Lists!$C$4:$C$15),A649&gt;MAX(Lists!$D$4:$D$15)),"No period",INDEX(Lists!$B$4:$B$15,MATCH(A649,Lists!$C$4:$C$15,1))))</f>
        <v/>
      </c>
      <c r="C649" s="28">
        <f>IF(B649="","",IFERROR(INDEX(Lists!$A$4:$A$15,MATCH(B649,Lists!$B$4:$B$15,0)),0))</f>
        <v/>
      </c>
      <c r="D649" s="25" t="n"/>
      <c r="E649" s="24" t="n"/>
      <c r="F649" s="27">
        <f>IF(E649="","",IFERROR(INDEX(Lists!$H$4:$H$40,MATCH(E649,Lists!$F$4:$F$40,0)),"UNMAPPED"))</f>
        <v/>
      </c>
      <c r="G649" s="25" t="n"/>
      <c r="H649" s="25" t="n"/>
      <c r="I649" s="25" t="n"/>
      <c r="J649" s="25" t="n"/>
      <c r="K649" s="25" t="n"/>
      <c r="L649" s="29" t="n"/>
      <c r="M649" s="25" t="n"/>
      <c r="N649" s="30" t="n"/>
      <c r="O649" s="31">
        <f>IF(N649="","",IF(G649="Revenue",ROUND(N649*VATRate,2),0))</f>
        <v/>
      </c>
      <c r="P649" s="31">
        <f>IF(N649="","",N649+O649)</f>
        <v/>
      </c>
    </row>
    <row r="650">
      <c r="A650" s="26" t="n"/>
      <c r="B650" s="27">
        <f>IF(A650="","",IF(OR(A650&lt;MIN(Lists!$C$4:$C$15),A650&gt;MAX(Lists!$D$4:$D$15)),"No period",INDEX(Lists!$B$4:$B$15,MATCH(A650,Lists!$C$4:$C$15,1))))</f>
        <v/>
      </c>
      <c r="C650" s="28">
        <f>IF(B650="","",IFERROR(INDEX(Lists!$A$4:$A$15,MATCH(B650,Lists!$B$4:$B$15,0)),0))</f>
        <v/>
      </c>
      <c r="D650" s="25" t="n"/>
      <c r="E650" s="24" t="n"/>
      <c r="F650" s="27">
        <f>IF(E650="","",IFERROR(INDEX(Lists!$H$4:$H$40,MATCH(E650,Lists!$F$4:$F$40,0)),"UNMAPPED"))</f>
        <v/>
      </c>
      <c r="G650" s="25" t="n"/>
      <c r="H650" s="25" t="n"/>
      <c r="I650" s="25" t="n"/>
      <c r="J650" s="25" t="n"/>
      <c r="K650" s="25" t="n"/>
      <c r="L650" s="29" t="n"/>
      <c r="M650" s="25" t="n"/>
      <c r="N650" s="30" t="n"/>
      <c r="O650" s="31">
        <f>IF(N650="","",IF(G650="Revenue",ROUND(N650*VATRate,2),0))</f>
        <v/>
      </c>
      <c r="P650" s="31">
        <f>IF(N650="","",N650+O650)</f>
        <v/>
      </c>
    </row>
    <row r="651">
      <c r="A651" s="26" t="n"/>
      <c r="B651" s="27">
        <f>IF(A651="","",IF(OR(A651&lt;MIN(Lists!$C$4:$C$15),A651&gt;MAX(Lists!$D$4:$D$15)),"No period",INDEX(Lists!$B$4:$B$15,MATCH(A651,Lists!$C$4:$C$15,1))))</f>
        <v/>
      </c>
      <c r="C651" s="28">
        <f>IF(B651="","",IFERROR(INDEX(Lists!$A$4:$A$15,MATCH(B651,Lists!$B$4:$B$15,0)),0))</f>
        <v/>
      </c>
      <c r="D651" s="25" t="n"/>
      <c r="E651" s="24" t="n"/>
      <c r="F651" s="27">
        <f>IF(E651="","",IFERROR(INDEX(Lists!$H$4:$H$40,MATCH(E651,Lists!$F$4:$F$40,0)),"UNMAPPED"))</f>
        <v/>
      </c>
      <c r="G651" s="25" t="n"/>
      <c r="H651" s="25" t="n"/>
      <c r="I651" s="25" t="n"/>
      <c r="J651" s="25" t="n"/>
      <c r="K651" s="25" t="n"/>
      <c r="L651" s="29" t="n"/>
      <c r="M651" s="25" t="n"/>
      <c r="N651" s="30" t="n"/>
      <c r="O651" s="31">
        <f>IF(N651="","",IF(G651="Revenue",ROUND(N651*VATRate,2),0))</f>
        <v/>
      </c>
      <c r="P651" s="31">
        <f>IF(N651="","",N651+O651)</f>
        <v/>
      </c>
    </row>
    <row r="652">
      <c r="A652" s="26" t="n"/>
      <c r="B652" s="27">
        <f>IF(A652="","",IF(OR(A652&lt;MIN(Lists!$C$4:$C$15),A652&gt;MAX(Lists!$D$4:$D$15)),"No period",INDEX(Lists!$B$4:$B$15,MATCH(A652,Lists!$C$4:$C$15,1))))</f>
        <v/>
      </c>
      <c r="C652" s="28">
        <f>IF(B652="","",IFERROR(INDEX(Lists!$A$4:$A$15,MATCH(B652,Lists!$B$4:$B$15,0)),0))</f>
        <v/>
      </c>
      <c r="D652" s="25" t="n"/>
      <c r="E652" s="24" t="n"/>
      <c r="F652" s="27">
        <f>IF(E652="","",IFERROR(INDEX(Lists!$H$4:$H$40,MATCH(E652,Lists!$F$4:$F$40,0)),"UNMAPPED"))</f>
        <v/>
      </c>
      <c r="G652" s="25" t="n"/>
      <c r="H652" s="25" t="n"/>
      <c r="I652" s="25" t="n"/>
      <c r="J652" s="25" t="n"/>
      <c r="K652" s="25" t="n"/>
      <c r="L652" s="29" t="n"/>
      <c r="M652" s="25" t="n"/>
      <c r="N652" s="30" t="n"/>
      <c r="O652" s="31">
        <f>IF(N652="","",IF(G652="Revenue",ROUND(N652*VATRate,2),0))</f>
        <v/>
      </c>
      <c r="P652" s="31">
        <f>IF(N652="","",N652+O652)</f>
        <v/>
      </c>
    </row>
    <row r="653">
      <c r="A653" s="26" t="n"/>
      <c r="B653" s="27">
        <f>IF(A653="","",IF(OR(A653&lt;MIN(Lists!$C$4:$C$15),A653&gt;MAX(Lists!$D$4:$D$15)),"No period",INDEX(Lists!$B$4:$B$15,MATCH(A653,Lists!$C$4:$C$15,1))))</f>
        <v/>
      </c>
      <c r="C653" s="28">
        <f>IF(B653="","",IFERROR(INDEX(Lists!$A$4:$A$15,MATCH(B653,Lists!$B$4:$B$15,0)),0))</f>
        <v/>
      </c>
      <c r="D653" s="25" t="n"/>
      <c r="E653" s="24" t="n"/>
      <c r="F653" s="27">
        <f>IF(E653="","",IFERROR(INDEX(Lists!$H$4:$H$40,MATCH(E653,Lists!$F$4:$F$40,0)),"UNMAPPED"))</f>
        <v/>
      </c>
      <c r="G653" s="25" t="n"/>
      <c r="H653" s="25" t="n"/>
      <c r="I653" s="25" t="n"/>
      <c r="J653" s="25" t="n"/>
      <c r="K653" s="25" t="n"/>
      <c r="L653" s="29" t="n"/>
      <c r="M653" s="25" t="n"/>
      <c r="N653" s="30" t="n"/>
      <c r="O653" s="31">
        <f>IF(N653="","",IF(G653="Revenue",ROUND(N653*VATRate,2),0))</f>
        <v/>
      </c>
      <c r="P653" s="31">
        <f>IF(N653="","",N653+O653)</f>
        <v/>
      </c>
    </row>
    <row r="654">
      <c r="A654" s="26" t="n"/>
      <c r="B654" s="27">
        <f>IF(A654="","",IF(OR(A654&lt;MIN(Lists!$C$4:$C$15),A654&gt;MAX(Lists!$D$4:$D$15)),"No period",INDEX(Lists!$B$4:$B$15,MATCH(A654,Lists!$C$4:$C$15,1))))</f>
        <v/>
      </c>
      <c r="C654" s="28">
        <f>IF(B654="","",IFERROR(INDEX(Lists!$A$4:$A$15,MATCH(B654,Lists!$B$4:$B$15,0)),0))</f>
        <v/>
      </c>
      <c r="D654" s="25" t="n"/>
      <c r="E654" s="24" t="n"/>
      <c r="F654" s="27">
        <f>IF(E654="","",IFERROR(INDEX(Lists!$H$4:$H$40,MATCH(E654,Lists!$F$4:$F$40,0)),"UNMAPPED"))</f>
        <v/>
      </c>
      <c r="G654" s="25" t="n"/>
      <c r="H654" s="25" t="n"/>
      <c r="I654" s="25" t="n"/>
      <c r="J654" s="25" t="n"/>
      <c r="K654" s="25" t="n"/>
      <c r="L654" s="29" t="n"/>
      <c r="M654" s="25" t="n"/>
      <c r="N654" s="30" t="n"/>
      <c r="O654" s="31">
        <f>IF(N654="","",IF(G654="Revenue",ROUND(N654*VATRate,2),0))</f>
        <v/>
      </c>
      <c r="P654" s="31">
        <f>IF(N654="","",N654+O654)</f>
        <v/>
      </c>
    </row>
    <row r="655">
      <c r="A655" s="26" t="n"/>
      <c r="B655" s="27">
        <f>IF(A655="","",IF(OR(A655&lt;MIN(Lists!$C$4:$C$15),A655&gt;MAX(Lists!$D$4:$D$15)),"No period",INDEX(Lists!$B$4:$B$15,MATCH(A655,Lists!$C$4:$C$15,1))))</f>
        <v/>
      </c>
      <c r="C655" s="28">
        <f>IF(B655="","",IFERROR(INDEX(Lists!$A$4:$A$15,MATCH(B655,Lists!$B$4:$B$15,0)),0))</f>
        <v/>
      </c>
      <c r="D655" s="25" t="n"/>
      <c r="E655" s="24" t="n"/>
      <c r="F655" s="27">
        <f>IF(E655="","",IFERROR(INDEX(Lists!$H$4:$H$40,MATCH(E655,Lists!$F$4:$F$40,0)),"UNMAPPED"))</f>
        <v/>
      </c>
      <c r="G655" s="25" t="n"/>
      <c r="H655" s="25" t="n"/>
      <c r="I655" s="25" t="n"/>
      <c r="J655" s="25" t="n"/>
      <c r="K655" s="25" t="n"/>
      <c r="L655" s="29" t="n"/>
      <c r="M655" s="25" t="n"/>
      <c r="N655" s="30" t="n"/>
      <c r="O655" s="31">
        <f>IF(N655="","",IF(G655="Revenue",ROUND(N655*VATRate,2),0))</f>
        <v/>
      </c>
      <c r="P655" s="31">
        <f>IF(N655="","",N655+O655)</f>
        <v/>
      </c>
    </row>
    <row r="656">
      <c r="A656" s="26" t="n"/>
      <c r="B656" s="27">
        <f>IF(A656="","",IF(OR(A656&lt;MIN(Lists!$C$4:$C$15),A656&gt;MAX(Lists!$D$4:$D$15)),"No period",INDEX(Lists!$B$4:$B$15,MATCH(A656,Lists!$C$4:$C$15,1))))</f>
        <v/>
      </c>
      <c r="C656" s="28">
        <f>IF(B656="","",IFERROR(INDEX(Lists!$A$4:$A$15,MATCH(B656,Lists!$B$4:$B$15,0)),0))</f>
        <v/>
      </c>
      <c r="D656" s="25" t="n"/>
      <c r="E656" s="24" t="n"/>
      <c r="F656" s="27">
        <f>IF(E656="","",IFERROR(INDEX(Lists!$H$4:$H$40,MATCH(E656,Lists!$F$4:$F$40,0)),"UNMAPPED"))</f>
        <v/>
      </c>
      <c r="G656" s="25" t="n"/>
      <c r="H656" s="25" t="n"/>
      <c r="I656" s="25" t="n"/>
      <c r="J656" s="25" t="n"/>
      <c r="K656" s="25" t="n"/>
      <c r="L656" s="29" t="n"/>
      <c r="M656" s="25" t="n"/>
      <c r="N656" s="30" t="n"/>
      <c r="O656" s="31">
        <f>IF(N656="","",IF(G656="Revenue",ROUND(N656*VATRate,2),0))</f>
        <v/>
      </c>
      <c r="P656" s="31">
        <f>IF(N656="","",N656+O656)</f>
        <v/>
      </c>
    </row>
    <row r="657">
      <c r="A657" s="26" t="n"/>
      <c r="B657" s="27">
        <f>IF(A657="","",IF(OR(A657&lt;MIN(Lists!$C$4:$C$15),A657&gt;MAX(Lists!$D$4:$D$15)),"No period",INDEX(Lists!$B$4:$B$15,MATCH(A657,Lists!$C$4:$C$15,1))))</f>
        <v/>
      </c>
      <c r="C657" s="28">
        <f>IF(B657="","",IFERROR(INDEX(Lists!$A$4:$A$15,MATCH(B657,Lists!$B$4:$B$15,0)),0))</f>
        <v/>
      </c>
      <c r="D657" s="25" t="n"/>
      <c r="E657" s="24" t="n"/>
      <c r="F657" s="27">
        <f>IF(E657="","",IFERROR(INDEX(Lists!$H$4:$H$40,MATCH(E657,Lists!$F$4:$F$40,0)),"UNMAPPED"))</f>
        <v/>
      </c>
      <c r="G657" s="25" t="n"/>
      <c r="H657" s="25" t="n"/>
      <c r="I657" s="25" t="n"/>
      <c r="J657" s="25" t="n"/>
      <c r="K657" s="25" t="n"/>
      <c r="L657" s="29" t="n"/>
      <c r="M657" s="25" t="n"/>
      <c r="N657" s="30" t="n"/>
      <c r="O657" s="31">
        <f>IF(N657="","",IF(G657="Revenue",ROUND(N657*VATRate,2),0))</f>
        <v/>
      </c>
      <c r="P657" s="31">
        <f>IF(N657="","",N657+O657)</f>
        <v/>
      </c>
    </row>
    <row r="658">
      <c r="A658" s="26" t="n"/>
      <c r="B658" s="27">
        <f>IF(A658="","",IF(OR(A658&lt;MIN(Lists!$C$4:$C$15),A658&gt;MAX(Lists!$D$4:$D$15)),"No period",INDEX(Lists!$B$4:$B$15,MATCH(A658,Lists!$C$4:$C$15,1))))</f>
        <v/>
      </c>
      <c r="C658" s="28">
        <f>IF(B658="","",IFERROR(INDEX(Lists!$A$4:$A$15,MATCH(B658,Lists!$B$4:$B$15,0)),0))</f>
        <v/>
      </c>
      <c r="D658" s="25" t="n"/>
      <c r="E658" s="24" t="n"/>
      <c r="F658" s="27">
        <f>IF(E658="","",IFERROR(INDEX(Lists!$H$4:$H$40,MATCH(E658,Lists!$F$4:$F$40,0)),"UNMAPPED"))</f>
        <v/>
      </c>
      <c r="G658" s="25" t="n"/>
      <c r="H658" s="25" t="n"/>
      <c r="I658" s="25" t="n"/>
      <c r="J658" s="25" t="n"/>
      <c r="K658" s="25" t="n"/>
      <c r="L658" s="29" t="n"/>
      <c r="M658" s="25" t="n"/>
      <c r="N658" s="30" t="n"/>
      <c r="O658" s="31">
        <f>IF(N658="","",IF(G658="Revenue",ROUND(N658*VATRate,2),0))</f>
        <v/>
      </c>
      <c r="P658" s="31">
        <f>IF(N658="","",N658+O658)</f>
        <v/>
      </c>
    </row>
    <row r="659">
      <c r="A659" s="26" t="n"/>
      <c r="B659" s="27">
        <f>IF(A659="","",IF(OR(A659&lt;MIN(Lists!$C$4:$C$15),A659&gt;MAX(Lists!$D$4:$D$15)),"No period",INDEX(Lists!$B$4:$B$15,MATCH(A659,Lists!$C$4:$C$15,1))))</f>
        <v/>
      </c>
      <c r="C659" s="28">
        <f>IF(B659="","",IFERROR(INDEX(Lists!$A$4:$A$15,MATCH(B659,Lists!$B$4:$B$15,0)),0))</f>
        <v/>
      </c>
      <c r="D659" s="25" t="n"/>
      <c r="E659" s="24" t="n"/>
      <c r="F659" s="27">
        <f>IF(E659="","",IFERROR(INDEX(Lists!$H$4:$H$40,MATCH(E659,Lists!$F$4:$F$40,0)),"UNMAPPED"))</f>
        <v/>
      </c>
      <c r="G659" s="25" t="n"/>
      <c r="H659" s="25" t="n"/>
      <c r="I659" s="25" t="n"/>
      <c r="J659" s="25" t="n"/>
      <c r="K659" s="25" t="n"/>
      <c r="L659" s="29" t="n"/>
      <c r="M659" s="25" t="n"/>
      <c r="N659" s="30" t="n"/>
      <c r="O659" s="31">
        <f>IF(N659="","",IF(G659="Revenue",ROUND(N659*VATRate,2),0))</f>
        <v/>
      </c>
      <c r="P659" s="31">
        <f>IF(N659="","",N659+O659)</f>
        <v/>
      </c>
    </row>
    <row r="660">
      <c r="A660" s="26" t="n"/>
      <c r="B660" s="27">
        <f>IF(A660="","",IF(OR(A660&lt;MIN(Lists!$C$4:$C$15),A660&gt;MAX(Lists!$D$4:$D$15)),"No period",INDEX(Lists!$B$4:$B$15,MATCH(A660,Lists!$C$4:$C$15,1))))</f>
        <v/>
      </c>
      <c r="C660" s="28">
        <f>IF(B660="","",IFERROR(INDEX(Lists!$A$4:$A$15,MATCH(B660,Lists!$B$4:$B$15,0)),0))</f>
        <v/>
      </c>
      <c r="D660" s="25" t="n"/>
      <c r="E660" s="24" t="n"/>
      <c r="F660" s="27">
        <f>IF(E660="","",IFERROR(INDEX(Lists!$H$4:$H$40,MATCH(E660,Lists!$F$4:$F$40,0)),"UNMAPPED"))</f>
        <v/>
      </c>
      <c r="G660" s="25" t="n"/>
      <c r="H660" s="25" t="n"/>
      <c r="I660" s="25" t="n"/>
      <c r="J660" s="25" t="n"/>
      <c r="K660" s="25" t="n"/>
      <c r="L660" s="29" t="n"/>
      <c r="M660" s="25" t="n"/>
      <c r="N660" s="30" t="n"/>
      <c r="O660" s="31">
        <f>IF(N660="","",IF(G660="Revenue",ROUND(N660*VATRate,2),0))</f>
        <v/>
      </c>
      <c r="P660" s="31">
        <f>IF(N660="","",N660+O660)</f>
        <v/>
      </c>
    </row>
    <row r="661">
      <c r="A661" s="26" t="n"/>
      <c r="B661" s="27">
        <f>IF(A661="","",IF(OR(A661&lt;MIN(Lists!$C$4:$C$15),A661&gt;MAX(Lists!$D$4:$D$15)),"No period",INDEX(Lists!$B$4:$B$15,MATCH(A661,Lists!$C$4:$C$15,1))))</f>
        <v/>
      </c>
      <c r="C661" s="28">
        <f>IF(B661="","",IFERROR(INDEX(Lists!$A$4:$A$15,MATCH(B661,Lists!$B$4:$B$15,0)),0))</f>
        <v/>
      </c>
      <c r="D661" s="25" t="n"/>
      <c r="E661" s="24" t="n"/>
      <c r="F661" s="27">
        <f>IF(E661="","",IFERROR(INDEX(Lists!$H$4:$H$40,MATCH(E661,Lists!$F$4:$F$40,0)),"UNMAPPED"))</f>
        <v/>
      </c>
      <c r="G661" s="25" t="n"/>
      <c r="H661" s="25" t="n"/>
      <c r="I661" s="25" t="n"/>
      <c r="J661" s="25" t="n"/>
      <c r="K661" s="25" t="n"/>
      <c r="L661" s="29" t="n"/>
      <c r="M661" s="25" t="n"/>
      <c r="N661" s="30" t="n"/>
      <c r="O661" s="31">
        <f>IF(N661="","",IF(G661="Revenue",ROUND(N661*VATRate,2),0))</f>
        <v/>
      </c>
      <c r="P661" s="31">
        <f>IF(N661="","",N661+O661)</f>
        <v/>
      </c>
    </row>
    <row r="662">
      <c r="A662" s="26" t="n"/>
      <c r="B662" s="27">
        <f>IF(A662="","",IF(OR(A662&lt;MIN(Lists!$C$4:$C$15),A662&gt;MAX(Lists!$D$4:$D$15)),"No period",INDEX(Lists!$B$4:$B$15,MATCH(A662,Lists!$C$4:$C$15,1))))</f>
        <v/>
      </c>
      <c r="C662" s="28">
        <f>IF(B662="","",IFERROR(INDEX(Lists!$A$4:$A$15,MATCH(B662,Lists!$B$4:$B$15,0)),0))</f>
        <v/>
      </c>
      <c r="D662" s="25" t="n"/>
      <c r="E662" s="24" t="n"/>
      <c r="F662" s="27">
        <f>IF(E662="","",IFERROR(INDEX(Lists!$H$4:$H$40,MATCH(E662,Lists!$F$4:$F$40,0)),"UNMAPPED"))</f>
        <v/>
      </c>
      <c r="G662" s="25" t="n"/>
      <c r="H662" s="25" t="n"/>
      <c r="I662" s="25" t="n"/>
      <c r="J662" s="25" t="n"/>
      <c r="K662" s="25" t="n"/>
      <c r="L662" s="29" t="n"/>
      <c r="M662" s="25" t="n"/>
      <c r="N662" s="30" t="n"/>
      <c r="O662" s="31">
        <f>IF(N662="","",IF(G662="Revenue",ROUND(N662*VATRate,2),0))</f>
        <v/>
      </c>
      <c r="P662" s="31">
        <f>IF(N662="","",N662+O662)</f>
        <v/>
      </c>
    </row>
    <row r="663">
      <c r="A663" s="26" t="n"/>
      <c r="B663" s="27">
        <f>IF(A663="","",IF(OR(A663&lt;MIN(Lists!$C$4:$C$15),A663&gt;MAX(Lists!$D$4:$D$15)),"No period",INDEX(Lists!$B$4:$B$15,MATCH(A663,Lists!$C$4:$C$15,1))))</f>
        <v/>
      </c>
      <c r="C663" s="28">
        <f>IF(B663="","",IFERROR(INDEX(Lists!$A$4:$A$15,MATCH(B663,Lists!$B$4:$B$15,0)),0))</f>
        <v/>
      </c>
      <c r="D663" s="25" t="n"/>
      <c r="E663" s="24" t="n"/>
      <c r="F663" s="27">
        <f>IF(E663="","",IFERROR(INDEX(Lists!$H$4:$H$40,MATCH(E663,Lists!$F$4:$F$40,0)),"UNMAPPED"))</f>
        <v/>
      </c>
      <c r="G663" s="25" t="n"/>
      <c r="H663" s="25" t="n"/>
      <c r="I663" s="25" t="n"/>
      <c r="J663" s="25" t="n"/>
      <c r="K663" s="25" t="n"/>
      <c r="L663" s="29" t="n"/>
      <c r="M663" s="25" t="n"/>
      <c r="N663" s="30" t="n"/>
      <c r="O663" s="31">
        <f>IF(N663="","",IF(G663="Revenue",ROUND(N663*VATRate,2),0))</f>
        <v/>
      </c>
      <c r="P663" s="31">
        <f>IF(N663="","",N663+O663)</f>
        <v/>
      </c>
    </row>
    <row r="664">
      <c r="A664" s="26" t="n"/>
      <c r="B664" s="27">
        <f>IF(A664="","",IF(OR(A664&lt;MIN(Lists!$C$4:$C$15),A664&gt;MAX(Lists!$D$4:$D$15)),"No period",INDEX(Lists!$B$4:$B$15,MATCH(A664,Lists!$C$4:$C$15,1))))</f>
        <v/>
      </c>
      <c r="C664" s="28">
        <f>IF(B664="","",IFERROR(INDEX(Lists!$A$4:$A$15,MATCH(B664,Lists!$B$4:$B$15,0)),0))</f>
        <v/>
      </c>
      <c r="D664" s="25" t="n"/>
      <c r="E664" s="24" t="n"/>
      <c r="F664" s="27">
        <f>IF(E664="","",IFERROR(INDEX(Lists!$H$4:$H$40,MATCH(E664,Lists!$F$4:$F$40,0)),"UNMAPPED"))</f>
        <v/>
      </c>
      <c r="G664" s="25" t="n"/>
      <c r="H664" s="25" t="n"/>
      <c r="I664" s="25" t="n"/>
      <c r="J664" s="25" t="n"/>
      <c r="K664" s="25" t="n"/>
      <c r="L664" s="29" t="n"/>
      <c r="M664" s="25" t="n"/>
      <c r="N664" s="30" t="n"/>
      <c r="O664" s="31">
        <f>IF(N664="","",IF(G664="Revenue",ROUND(N664*VATRate,2),0))</f>
        <v/>
      </c>
      <c r="P664" s="31">
        <f>IF(N664="","",N664+O664)</f>
        <v/>
      </c>
    </row>
    <row r="665">
      <c r="A665" s="26" t="n"/>
      <c r="B665" s="27">
        <f>IF(A665="","",IF(OR(A665&lt;MIN(Lists!$C$4:$C$15),A665&gt;MAX(Lists!$D$4:$D$15)),"No period",INDEX(Lists!$B$4:$B$15,MATCH(A665,Lists!$C$4:$C$15,1))))</f>
        <v/>
      </c>
      <c r="C665" s="28">
        <f>IF(B665="","",IFERROR(INDEX(Lists!$A$4:$A$15,MATCH(B665,Lists!$B$4:$B$15,0)),0))</f>
        <v/>
      </c>
      <c r="D665" s="25" t="n"/>
      <c r="E665" s="24" t="n"/>
      <c r="F665" s="27">
        <f>IF(E665="","",IFERROR(INDEX(Lists!$H$4:$H$40,MATCH(E665,Lists!$F$4:$F$40,0)),"UNMAPPED"))</f>
        <v/>
      </c>
      <c r="G665" s="25" t="n"/>
      <c r="H665" s="25" t="n"/>
      <c r="I665" s="25" t="n"/>
      <c r="J665" s="25" t="n"/>
      <c r="K665" s="25" t="n"/>
      <c r="L665" s="29" t="n"/>
      <c r="M665" s="25" t="n"/>
      <c r="N665" s="30" t="n"/>
      <c r="O665" s="31">
        <f>IF(N665="","",IF(G665="Revenue",ROUND(N665*VATRate,2),0))</f>
        <v/>
      </c>
      <c r="P665" s="31">
        <f>IF(N665="","",N665+O665)</f>
        <v/>
      </c>
    </row>
    <row r="666">
      <c r="A666" s="26" t="n"/>
      <c r="B666" s="27">
        <f>IF(A666="","",IF(OR(A666&lt;MIN(Lists!$C$4:$C$15),A666&gt;MAX(Lists!$D$4:$D$15)),"No period",INDEX(Lists!$B$4:$B$15,MATCH(A666,Lists!$C$4:$C$15,1))))</f>
        <v/>
      </c>
      <c r="C666" s="28">
        <f>IF(B666="","",IFERROR(INDEX(Lists!$A$4:$A$15,MATCH(B666,Lists!$B$4:$B$15,0)),0))</f>
        <v/>
      </c>
      <c r="D666" s="25" t="n"/>
      <c r="E666" s="24" t="n"/>
      <c r="F666" s="27">
        <f>IF(E666="","",IFERROR(INDEX(Lists!$H$4:$H$40,MATCH(E666,Lists!$F$4:$F$40,0)),"UNMAPPED"))</f>
        <v/>
      </c>
      <c r="G666" s="25" t="n"/>
      <c r="H666" s="25" t="n"/>
      <c r="I666" s="25" t="n"/>
      <c r="J666" s="25" t="n"/>
      <c r="K666" s="25" t="n"/>
      <c r="L666" s="29" t="n"/>
      <c r="M666" s="25" t="n"/>
      <c r="N666" s="30" t="n"/>
      <c r="O666" s="31">
        <f>IF(N666="","",IF(G666="Revenue",ROUND(N666*VATRate,2),0))</f>
        <v/>
      </c>
      <c r="P666" s="31">
        <f>IF(N666="","",N666+O666)</f>
        <v/>
      </c>
    </row>
    <row r="667">
      <c r="A667" s="26" t="n"/>
      <c r="B667" s="27">
        <f>IF(A667="","",IF(OR(A667&lt;MIN(Lists!$C$4:$C$15),A667&gt;MAX(Lists!$D$4:$D$15)),"No period",INDEX(Lists!$B$4:$B$15,MATCH(A667,Lists!$C$4:$C$15,1))))</f>
        <v/>
      </c>
      <c r="C667" s="28">
        <f>IF(B667="","",IFERROR(INDEX(Lists!$A$4:$A$15,MATCH(B667,Lists!$B$4:$B$15,0)),0))</f>
        <v/>
      </c>
      <c r="D667" s="25" t="n"/>
      <c r="E667" s="24" t="n"/>
      <c r="F667" s="27">
        <f>IF(E667="","",IFERROR(INDEX(Lists!$H$4:$H$40,MATCH(E667,Lists!$F$4:$F$40,0)),"UNMAPPED"))</f>
        <v/>
      </c>
      <c r="G667" s="25" t="n"/>
      <c r="H667" s="25" t="n"/>
      <c r="I667" s="25" t="n"/>
      <c r="J667" s="25" t="n"/>
      <c r="K667" s="25" t="n"/>
      <c r="L667" s="29" t="n"/>
      <c r="M667" s="25" t="n"/>
      <c r="N667" s="30" t="n"/>
      <c r="O667" s="31">
        <f>IF(N667="","",IF(G667="Revenue",ROUND(N667*VATRate,2),0))</f>
        <v/>
      </c>
      <c r="P667" s="31">
        <f>IF(N667="","",N667+O667)</f>
        <v/>
      </c>
    </row>
    <row r="668">
      <c r="A668" s="26" t="n"/>
      <c r="B668" s="27">
        <f>IF(A668="","",IF(OR(A668&lt;MIN(Lists!$C$4:$C$15),A668&gt;MAX(Lists!$D$4:$D$15)),"No period",INDEX(Lists!$B$4:$B$15,MATCH(A668,Lists!$C$4:$C$15,1))))</f>
        <v/>
      </c>
      <c r="C668" s="28">
        <f>IF(B668="","",IFERROR(INDEX(Lists!$A$4:$A$15,MATCH(B668,Lists!$B$4:$B$15,0)),0))</f>
        <v/>
      </c>
      <c r="D668" s="25" t="n"/>
      <c r="E668" s="24" t="n"/>
      <c r="F668" s="27">
        <f>IF(E668="","",IFERROR(INDEX(Lists!$H$4:$H$40,MATCH(E668,Lists!$F$4:$F$40,0)),"UNMAPPED"))</f>
        <v/>
      </c>
      <c r="G668" s="25" t="n"/>
      <c r="H668" s="25" t="n"/>
      <c r="I668" s="25" t="n"/>
      <c r="J668" s="25" t="n"/>
      <c r="K668" s="25" t="n"/>
      <c r="L668" s="29" t="n"/>
      <c r="M668" s="25" t="n"/>
      <c r="N668" s="30" t="n"/>
      <c r="O668" s="31">
        <f>IF(N668="","",IF(G668="Revenue",ROUND(N668*VATRate,2),0))</f>
        <v/>
      </c>
      <c r="P668" s="31">
        <f>IF(N668="","",N668+O668)</f>
        <v/>
      </c>
    </row>
    <row r="669">
      <c r="A669" s="26" t="n"/>
      <c r="B669" s="27">
        <f>IF(A669="","",IF(OR(A669&lt;MIN(Lists!$C$4:$C$15),A669&gt;MAX(Lists!$D$4:$D$15)),"No period",INDEX(Lists!$B$4:$B$15,MATCH(A669,Lists!$C$4:$C$15,1))))</f>
        <v/>
      </c>
      <c r="C669" s="28">
        <f>IF(B669="","",IFERROR(INDEX(Lists!$A$4:$A$15,MATCH(B669,Lists!$B$4:$B$15,0)),0))</f>
        <v/>
      </c>
      <c r="D669" s="25" t="n"/>
      <c r="E669" s="24" t="n"/>
      <c r="F669" s="27">
        <f>IF(E669="","",IFERROR(INDEX(Lists!$H$4:$H$40,MATCH(E669,Lists!$F$4:$F$40,0)),"UNMAPPED"))</f>
        <v/>
      </c>
      <c r="G669" s="25" t="n"/>
      <c r="H669" s="25" t="n"/>
      <c r="I669" s="25" t="n"/>
      <c r="J669" s="25" t="n"/>
      <c r="K669" s="25" t="n"/>
      <c r="L669" s="29" t="n"/>
      <c r="M669" s="25" t="n"/>
      <c r="N669" s="30" t="n"/>
      <c r="O669" s="31">
        <f>IF(N669="","",IF(G669="Revenue",ROUND(N669*VATRate,2),0))</f>
        <v/>
      </c>
      <c r="P669" s="31">
        <f>IF(N669="","",N669+O669)</f>
        <v/>
      </c>
    </row>
    <row r="670">
      <c r="A670" s="26" t="n"/>
      <c r="B670" s="27">
        <f>IF(A670="","",IF(OR(A670&lt;MIN(Lists!$C$4:$C$15),A670&gt;MAX(Lists!$D$4:$D$15)),"No period",INDEX(Lists!$B$4:$B$15,MATCH(A670,Lists!$C$4:$C$15,1))))</f>
        <v/>
      </c>
      <c r="C670" s="28">
        <f>IF(B670="","",IFERROR(INDEX(Lists!$A$4:$A$15,MATCH(B670,Lists!$B$4:$B$15,0)),0))</f>
        <v/>
      </c>
      <c r="D670" s="25" t="n"/>
      <c r="E670" s="24" t="n"/>
      <c r="F670" s="27">
        <f>IF(E670="","",IFERROR(INDEX(Lists!$H$4:$H$40,MATCH(E670,Lists!$F$4:$F$40,0)),"UNMAPPED"))</f>
        <v/>
      </c>
      <c r="G670" s="25" t="n"/>
      <c r="H670" s="25" t="n"/>
      <c r="I670" s="25" t="n"/>
      <c r="J670" s="25" t="n"/>
      <c r="K670" s="25" t="n"/>
      <c r="L670" s="29" t="n"/>
      <c r="M670" s="25" t="n"/>
      <c r="N670" s="30" t="n"/>
      <c r="O670" s="31">
        <f>IF(N670="","",IF(G670="Revenue",ROUND(N670*VATRate,2),0))</f>
        <v/>
      </c>
      <c r="P670" s="31">
        <f>IF(N670="","",N670+O670)</f>
        <v/>
      </c>
    </row>
    <row r="671">
      <c r="A671" s="26" t="n"/>
      <c r="B671" s="27">
        <f>IF(A671="","",IF(OR(A671&lt;MIN(Lists!$C$4:$C$15),A671&gt;MAX(Lists!$D$4:$D$15)),"No period",INDEX(Lists!$B$4:$B$15,MATCH(A671,Lists!$C$4:$C$15,1))))</f>
        <v/>
      </c>
      <c r="C671" s="28">
        <f>IF(B671="","",IFERROR(INDEX(Lists!$A$4:$A$15,MATCH(B671,Lists!$B$4:$B$15,0)),0))</f>
        <v/>
      </c>
      <c r="D671" s="25" t="n"/>
      <c r="E671" s="24" t="n"/>
      <c r="F671" s="27">
        <f>IF(E671="","",IFERROR(INDEX(Lists!$H$4:$H$40,MATCH(E671,Lists!$F$4:$F$40,0)),"UNMAPPED"))</f>
        <v/>
      </c>
      <c r="G671" s="25" t="n"/>
      <c r="H671" s="25" t="n"/>
      <c r="I671" s="25" t="n"/>
      <c r="J671" s="25" t="n"/>
      <c r="K671" s="25" t="n"/>
      <c r="L671" s="29" t="n"/>
      <c r="M671" s="25" t="n"/>
      <c r="N671" s="30" t="n"/>
      <c r="O671" s="31">
        <f>IF(N671="","",IF(G671="Revenue",ROUND(N671*VATRate,2),0))</f>
        <v/>
      </c>
      <c r="P671" s="31">
        <f>IF(N671="","",N671+O671)</f>
        <v/>
      </c>
    </row>
    <row r="672">
      <c r="A672" s="26" t="n"/>
      <c r="B672" s="27">
        <f>IF(A672="","",IF(OR(A672&lt;MIN(Lists!$C$4:$C$15),A672&gt;MAX(Lists!$D$4:$D$15)),"No period",INDEX(Lists!$B$4:$B$15,MATCH(A672,Lists!$C$4:$C$15,1))))</f>
        <v/>
      </c>
      <c r="C672" s="28">
        <f>IF(B672="","",IFERROR(INDEX(Lists!$A$4:$A$15,MATCH(B672,Lists!$B$4:$B$15,0)),0))</f>
        <v/>
      </c>
      <c r="D672" s="25" t="n"/>
      <c r="E672" s="24" t="n"/>
      <c r="F672" s="27">
        <f>IF(E672="","",IFERROR(INDEX(Lists!$H$4:$H$40,MATCH(E672,Lists!$F$4:$F$40,0)),"UNMAPPED"))</f>
        <v/>
      </c>
      <c r="G672" s="25" t="n"/>
      <c r="H672" s="25" t="n"/>
      <c r="I672" s="25" t="n"/>
      <c r="J672" s="25" t="n"/>
      <c r="K672" s="25" t="n"/>
      <c r="L672" s="29" t="n"/>
      <c r="M672" s="25" t="n"/>
      <c r="N672" s="30" t="n"/>
      <c r="O672" s="31">
        <f>IF(N672="","",IF(G672="Revenue",ROUND(N672*VATRate,2),0))</f>
        <v/>
      </c>
      <c r="P672" s="31">
        <f>IF(N672="","",N672+O672)</f>
        <v/>
      </c>
    </row>
    <row r="673">
      <c r="A673" s="26" t="n"/>
      <c r="B673" s="27">
        <f>IF(A673="","",IF(OR(A673&lt;MIN(Lists!$C$4:$C$15),A673&gt;MAX(Lists!$D$4:$D$15)),"No period",INDEX(Lists!$B$4:$B$15,MATCH(A673,Lists!$C$4:$C$15,1))))</f>
        <v/>
      </c>
      <c r="C673" s="28">
        <f>IF(B673="","",IFERROR(INDEX(Lists!$A$4:$A$15,MATCH(B673,Lists!$B$4:$B$15,0)),0))</f>
        <v/>
      </c>
      <c r="D673" s="25" t="n"/>
      <c r="E673" s="24" t="n"/>
      <c r="F673" s="27">
        <f>IF(E673="","",IFERROR(INDEX(Lists!$H$4:$H$40,MATCH(E673,Lists!$F$4:$F$40,0)),"UNMAPPED"))</f>
        <v/>
      </c>
      <c r="G673" s="25" t="n"/>
      <c r="H673" s="25" t="n"/>
      <c r="I673" s="25" t="n"/>
      <c r="J673" s="25" t="n"/>
      <c r="K673" s="25" t="n"/>
      <c r="L673" s="29" t="n"/>
      <c r="M673" s="25" t="n"/>
      <c r="N673" s="30" t="n"/>
      <c r="O673" s="31">
        <f>IF(N673="","",IF(G673="Revenue",ROUND(N673*VATRate,2),0))</f>
        <v/>
      </c>
      <c r="P673" s="31">
        <f>IF(N673="","",N673+O673)</f>
        <v/>
      </c>
    </row>
    <row r="674">
      <c r="A674" s="26" t="n"/>
      <c r="B674" s="27">
        <f>IF(A674="","",IF(OR(A674&lt;MIN(Lists!$C$4:$C$15),A674&gt;MAX(Lists!$D$4:$D$15)),"No period",INDEX(Lists!$B$4:$B$15,MATCH(A674,Lists!$C$4:$C$15,1))))</f>
        <v/>
      </c>
      <c r="C674" s="28">
        <f>IF(B674="","",IFERROR(INDEX(Lists!$A$4:$A$15,MATCH(B674,Lists!$B$4:$B$15,0)),0))</f>
        <v/>
      </c>
      <c r="D674" s="25" t="n"/>
      <c r="E674" s="24" t="n"/>
      <c r="F674" s="27">
        <f>IF(E674="","",IFERROR(INDEX(Lists!$H$4:$H$40,MATCH(E674,Lists!$F$4:$F$40,0)),"UNMAPPED"))</f>
        <v/>
      </c>
      <c r="G674" s="25" t="n"/>
      <c r="H674" s="25" t="n"/>
      <c r="I674" s="25" t="n"/>
      <c r="J674" s="25" t="n"/>
      <c r="K674" s="25" t="n"/>
      <c r="L674" s="29" t="n"/>
      <c r="M674" s="25" t="n"/>
      <c r="N674" s="30" t="n"/>
      <c r="O674" s="31">
        <f>IF(N674="","",IF(G674="Revenue",ROUND(N674*VATRate,2),0))</f>
        <v/>
      </c>
      <c r="P674" s="31">
        <f>IF(N674="","",N674+O674)</f>
        <v/>
      </c>
    </row>
    <row r="675">
      <c r="A675" s="26" t="n"/>
      <c r="B675" s="27">
        <f>IF(A675="","",IF(OR(A675&lt;MIN(Lists!$C$4:$C$15),A675&gt;MAX(Lists!$D$4:$D$15)),"No period",INDEX(Lists!$B$4:$B$15,MATCH(A675,Lists!$C$4:$C$15,1))))</f>
        <v/>
      </c>
      <c r="C675" s="28">
        <f>IF(B675="","",IFERROR(INDEX(Lists!$A$4:$A$15,MATCH(B675,Lists!$B$4:$B$15,0)),0))</f>
        <v/>
      </c>
      <c r="D675" s="25" t="n"/>
      <c r="E675" s="24" t="n"/>
      <c r="F675" s="27">
        <f>IF(E675="","",IFERROR(INDEX(Lists!$H$4:$H$40,MATCH(E675,Lists!$F$4:$F$40,0)),"UNMAPPED"))</f>
        <v/>
      </c>
      <c r="G675" s="25" t="n"/>
      <c r="H675" s="25" t="n"/>
      <c r="I675" s="25" t="n"/>
      <c r="J675" s="25" t="n"/>
      <c r="K675" s="25" t="n"/>
      <c r="L675" s="29" t="n"/>
      <c r="M675" s="25" t="n"/>
      <c r="N675" s="30" t="n"/>
      <c r="O675" s="31">
        <f>IF(N675="","",IF(G675="Revenue",ROUND(N675*VATRate,2),0))</f>
        <v/>
      </c>
      <c r="P675" s="31">
        <f>IF(N675="","",N675+O675)</f>
        <v/>
      </c>
    </row>
    <row r="676">
      <c r="A676" s="26" t="n"/>
      <c r="B676" s="27">
        <f>IF(A676="","",IF(OR(A676&lt;MIN(Lists!$C$4:$C$15),A676&gt;MAX(Lists!$D$4:$D$15)),"No period",INDEX(Lists!$B$4:$B$15,MATCH(A676,Lists!$C$4:$C$15,1))))</f>
        <v/>
      </c>
      <c r="C676" s="28">
        <f>IF(B676="","",IFERROR(INDEX(Lists!$A$4:$A$15,MATCH(B676,Lists!$B$4:$B$15,0)),0))</f>
        <v/>
      </c>
      <c r="D676" s="25" t="n"/>
      <c r="E676" s="24" t="n"/>
      <c r="F676" s="27">
        <f>IF(E676="","",IFERROR(INDEX(Lists!$H$4:$H$40,MATCH(E676,Lists!$F$4:$F$40,0)),"UNMAPPED"))</f>
        <v/>
      </c>
      <c r="G676" s="25" t="n"/>
      <c r="H676" s="25" t="n"/>
      <c r="I676" s="25" t="n"/>
      <c r="J676" s="25" t="n"/>
      <c r="K676" s="25" t="n"/>
      <c r="L676" s="29" t="n"/>
      <c r="M676" s="25" t="n"/>
      <c r="N676" s="30" t="n"/>
      <c r="O676" s="31">
        <f>IF(N676="","",IF(G676="Revenue",ROUND(N676*VATRate,2),0))</f>
        <v/>
      </c>
      <c r="P676" s="31">
        <f>IF(N676="","",N676+O676)</f>
        <v/>
      </c>
    </row>
    <row r="677">
      <c r="A677" s="26" t="n"/>
      <c r="B677" s="27">
        <f>IF(A677="","",IF(OR(A677&lt;MIN(Lists!$C$4:$C$15),A677&gt;MAX(Lists!$D$4:$D$15)),"No period",INDEX(Lists!$B$4:$B$15,MATCH(A677,Lists!$C$4:$C$15,1))))</f>
        <v/>
      </c>
      <c r="C677" s="28">
        <f>IF(B677="","",IFERROR(INDEX(Lists!$A$4:$A$15,MATCH(B677,Lists!$B$4:$B$15,0)),0))</f>
        <v/>
      </c>
      <c r="D677" s="25" t="n"/>
      <c r="E677" s="24" t="n"/>
      <c r="F677" s="27">
        <f>IF(E677="","",IFERROR(INDEX(Lists!$H$4:$H$40,MATCH(E677,Lists!$F$4:$F$40,0)),"UNMAPPED"))</f>
        <v/>
      </c>
      <c r="G677" s="25" t="n"/>
      <c r="H677" s="25" t="n"/>
      <c r="I677" s="25" t="n"/>
      <c r="J677" s="25" t="n"/>
      <c r="K677" s="25" t="n"/>
      <c r="L677" s="29" t="n"/>
      <c r="M677" s="25" t="n"/>
      <c r="N677" s="30" t="n"/>
      <c r="O677" s="31">
        <f>IF(N677="","",IF(G677="Revenue",ROUND(N677*VATRate,2),0))</f>
        <v/>
      </c>
      <c r="P677" s="31">
        <f>IF(N677="","",N677+O677)</f>
        <v/>
      </c>
    </row>
    <row r="678">
      <c r="A678" s="26" t="n"/>
      <c r="B678" s="27">
        <f>IF(A678="","",IF(OR(A678&lt;MIN(Lists!$C$4:$C$15),A678&gt;MAX(Lists!$D$4:$D$15)),"No period",INDEX(Lists!$B$4:$B$15,MATCH(A678,Lists!$C$4:$C$15,1))))</f>
        <v/>
      </c>
      <c r="C678" s="28">
        <f>IF(B678="","",IFERROR(INDEX(Lists!$A$4:$A$15,MATCH(B678,Lists!$B$4:$B$15,0)),0))</f>
        <v/>
      </c>
      <c r="D678" s="25" t="n"/>
      <c r="E678" s="24" t="n"/>
      <c r="F678" s="27">
        <f>IF(E678="","",IFERROR(INDEX(Lists!$H$4:$H$40,MATCH(E678,Lists!$F$4:$F$40,0)),"UNMAPPED"))</f>
        <v/>
      </c>
      <c r="G678" s="25" t="n"/>
      <c r="H678" s="25" t="n"/>
      <c r="I678" s="25" t="n"/>
      <c r="J678" s="25" t="n"/>
      <c r="K678" s="25" t="n"/>
      <c r="L678" s="29" t="n"/>
      <c r="M678" s="25" t="n"/>
      <c r="N678" s="30" t="n"/>
      <c r="O678" s="31">
        <f>IF(N678="","",IF(G678="Revenue",ROUND(N678*VATRate,2),0))</f>
        <v/>
      </c>
      <c r="P678" s="31">
        <f>IF(N678="","",N678+O678)</f>
        <v/>
      </c>
    </row>
    <row r="679">
      <c r="A679" s="26" t="n"/>
      <c r="B679" s="27">
        <f>IF(A679="","",IF(OR(A679&lt;MIN(Lists!$C$4:$C$15),A679&gt;MAX(Lists!$D$4:$D$15)),"No period",INDEX(Lists!$B$4:$B$15,MATCH(A679,Lists!$C$4:$C$15,1))))</f>
        <v/>
      </c>
      <c r="C679" s="28">
        <f>IF(B679="","",IFERROR(INDEX(Lists!$A$4:$A$15,MATCH(B679,Lists!$B$4:$B$15,0)),0))</f>
        <v/>
      </c>
      <c r="D679" s="25" t="n"/>
      <c r="E679" s="24" t="n"/>
      <c r="F679" s="27">
        <f>IF(E679="","",IFERROR(INDEX(Lists!$H$4:$H$40,MATCH(E679,Lists!$F$4:$F$40,0)),"UNMAPPED"))</f>
        <v/>
      </c>
      <c r="G679" s="25" t="n"/>
      <c r="H679" s="25" t="n"/>
      <c r="I679" s="25" t="n"/>
      <c r="J679" s="25" t="n"/>
      <c r="K679" s="25" t="n"/>
      <c r="L679" s="29" t="n"/>
      <c r="M679" s="25" t="n"/>
      <c r="N679" s="30" t="n"/>
      <c r="O679" s="31">
        <f>IF(N679="","",IF(G679="Revenue",ROUND(N679*VATRate,2),0))</f>
        <v/>
      </c>
      <c r="P679" s="31">
        <f>IF(N679="","",N679+O679)</f>
        <v/>
      </c>
    </row>
    <row r="680">
      <c r="A680" s="26" t="n"/>
      <c r="B680" s="27">
        <f>IF(A680="","",IF(OR(A680&lt;MIN(Lists!$C$4:$C$15),A680&gt;MAX(Lists!$D$4:$D$15)),"No period",INDEX(Lists!$B$4:$B$15,MATCH(A680,Lists!$C$4:$C$15,1))))</f>
        <v/>
      </c>
      <c r="C680" s="28">
        <f>IF(B680="","",IFERROR(INDEX(Lists!$A$4:$A$15,MATCH(B680,Lists!$B$4:$B$15,0)),0))</f>
        <v/>
      </c>
      <c r="D680" s="25" t="n"/>
      <c r="E680" s="24" t="n"/>
      <c r="F680" s="27">
        <f>IF(E680="","",IFERROR(INDEX(Lists!$H$4:$H$40,MATCH(E680,Lists!$F$4:$F$40,0)),"UNMAPPED"))</f>
        <v/>
      </c>
      <c r="G680" s="25" t="n"/>
      <c r="H680" s="25" t="n"/>
      <c r="I680" s="25" t="n"/>
      <c r="J680" s="25" t="n"/>
      <c r="K680" s="25" t="n"/>
      <c r="L680" s="29" t="n"/>
      <c r="M680" s="25" t="n"/>
      <c r="N680" s="30" t="n"/>
      <c r="O680" s="31">
        <f>IF(N680="","",IF(G680="Revenue",ROUND(N680*VATRate,2),0))</f>
        <v/>
      </c>
      <c r="P680" s="31">
        <f>IF(N680="","",N680+O680)</f>
        <v/>
      </c>
    </row>
    <row r="681">
      <c r="A681" s="26" t="n"/>
      <c r="B681" s="27">
        <f>IF(A681="","",IF(OR(A681&lt;MIN(Lists!$C$4:$C$15),A681&gt;MAX(Lists!$D$4:$D$15)),"No period",INDEX(Lists!$B$4:$B$15,MATCH(A681,Lists!$C$4:$C$15,1))))</f>
        <v/>
      </c>
      <c r="C681" s="28">
        <f>IF(B681="","",IFERROR(INDEX(Lists!$A$4:$A$15,MATCH(B681,Lists!$B$4:$B$15,0)),0))</f>
        <v/>
      </c>
      <c r="D681" s="25" t="n"/>
      <c r="E681" s="24" t="n"/>
      <c r="F681" s="27">
        <f>IF(E681="","",IFERROR(INDEX(Lists!$H$4:$H$40,MATCH(E681,Lists!$F$4:$F$40,0)),"UNMAPPED"))</f>
        <v/>
      </c>
      <c r="G681" s="25" t="n"/>
      <c r="H681" s="25" t="n"/>
      <c r="I681" s="25" t="n"/>
      <c r="J681" s="25" t="n"/>
      <c r="K681" s="25" t="n"/>
      <c r="L681" s="29" t="n"/>
      <c r="M681" s="25" t="n"/>
      <c r="N681" s="30" t="n"/>
      <c r="O681" s="31">
        <f>IF(N681="","",IF(G681="Revenue",ROUND(N681*VATRate,2),0))</f>
        <v/>
      </c>
      <c r="P681" s="31">
        <f>IF(N681="","",N681+O681)</f>
        <v/>
      </c>
    </row>
    <row r="682">
      <c r="A682" s="26" t="n"/>
      <c r="B682" s="27">
        <f>IF(A682="","",IF(OR(A682&lt;MIN(Lists!$C$4:$C$15),A682&gt;MAX(Lists!$D$4:$D$15)),"No period",INDEX(Lists!$B$4:$B$15,MATCH(A682,Lists!$C$4:$C$15,1))))</f>
        <v/>
      </c>
      <c r="C682" s="28">
        <f>IF(B682="","",IFERROR(INDEX(Lists!$A$4:$A$15,MATCH(B682,Lists!$B$4:$B$15,0)),0))</f>
        <v/>
      </c>
      <c r="D682" s="25" t="n"/>
      <c r="E682" s="24" t="n"/>
      <c r="F682" s="27">
        <f>IF(E682="","",IFERROR(INDEX(Lists!$H$4:$H$40,MATCH(E682,Lists!$F$4:$F$40,0)),"UNMAPPED"))</f>
        <v/>
      </c>
      <c r="G682" s="25" t="n"/>
      <c r="H682" s="25" t="n"/>
      <c r="I682" s="25" t="n"/>
      <c r="J682" s="25" t="n"/>
      <c r="K682" s="25" t="n"/>
      <c r="L682" s="29" t="n"/>
      <c r="M682" s="25" t="n"/>
      <c r="N682" s="30" t="n"/>
      <c r="O682" s="31">
        <f>IF(N682="","",IF(G682="Revenue",ROUND(N682*VATRate,2),0))</f>
        <v/>
      </c>
      <c r="P682" s="31">
        <f>IF(N682="","",N682+O682)</f>
        <v/>
      </c>
    </row>
    <row r="683">
      <c r="A683" s="26" t="n"/>
      <c r="B683" s="27">
        <f>IF(A683="","",IF(OR(A683&lt;MIN(Lists!$C$4:$C$15),A683&gt;MAX(Lists!$D$4:$D$15)),"No period",INDEX(Lists!$B$4:$B$15,MATCH(A683,Lists!$C$4:$C$15,1))))</f>
        <v/>
      </c>
      <c r="C683" s="28">
        <f>IF(B683="","",IFERROR(INDEX(Lists!$A$4:$A$15,MATCH(B683,Lists!$B$4:$B$15,0)),0))</f>
        <v/>
      </c>
      <c r="D683" s="25" t="n"/>
      <c r="E683" s="24" t="n"/>
      <c r="F683" s="27">
        <f>IF(E683="","",IFERROR(INDEX(Lists!$H$4:$H$40,MATCH(E683,Lists!$F$4:$F$40,0)),"UNMAPPED"))</f>
        <v/>
      </c>
      <c r="G683" s="25" t="n"/>
      <c r="H683" s="25" t="n"/>
      <c r="I683" s="25" t="n"/>
      <c r="J683" s="25" t="n"/>
      <c r="K683" s="25" t="n"/>
      <c r="L683" s="29" t="n"/>
      <c r="M683" s="25" t="n"/>
      <c r="N683" s="30" t="n"/>
      <c r="O683" s="31">
        <f>IF(N683="","",IF(G683="Revenue",ROUND(N683*VATRate,2),0))</f>
        <v/>
      </c>
      <c r="P683" s="31">
        <f>IF(N683="","",N683+O683)</f>
        <v/>
      </c>
    </row>
    <row r="684">
      <c r="A684" s="26" t="n"/>
      <c r="B684" s="27">
        <f>IF(A684="","",IF(OR(A684&lt;MIN(Lists!$C$4:$C$15),A684&gt;MAX(Lists!$D$4:$D$15)),"No period",INDEX(Lists!$B$4:$B$15,MATCH(A684,Lists!$C$4:$C$15,1))))</f>
        <v/>
      </c>
      <c r="C684" s="28">
        <f>IF(B684="","",IFERROR(INDEX(Lists!$A$4:$A$15,MATCH(B684,Lists!$B$4:$B$15,0)),0))</f>
        <v/>
      </c>
      <c r="D684" s="25" t="n"/>
      <c r="E684" s="24" t="n"/>
      <c r="F684" s="27">
        <f>IF(E684="","",IFERROR(INDEX(Lists!$H$4:$H$40,MATCH(E684,Lists!$F$4:$F$40,0)),"UNMAPPED"))</f>
        <v/>
      </c>
      <c r="G684" s="25" t="n"/>
      <c r="H684" s="25" t="n"/>
      <c r="I684" s="25" t="n"/>
      <c r="J684" s="25" t="n"/>
      <c r="K684" s="25" t="n"/>
      <c r="L684" s="29" t="n"/>
      <c r="M684" s="25" t="n"/>
      <c r="N684" s="30" t="n"/>
      <c r="O684" s="31">
        <f>IF(N684="","",IF(G684="Revenue",ROUND(N684*VATRate,2),0))</f>
        <v/>
      </c>
      <c r="P684" s="31">
        <f>IF(N684="","",N684+O684)</f>
        <v/>
      </c>
    </row>
    <row r="685">
      <c r="A685" s="26" t="n"/>
      <c r="B685" s="27">
        <f>IF(A685="","",IF(OR(A685&lt;MIN(Lists!$C$4:$C$15),A685&gt;MAX(Lists!$D$4:$D$15)),"No period",INDEX(Lists!$B$4:$B$15,MATCH(A685,Lists!$C$4:$C$15,1))))</f>
        <v/>
      </c>
      <c r="C685" s="28">
        <f>IF(B685="","",IFERROR(INDEX(Lists!$A$4:$A$15,MATCH(B685,Lists!$B$4:$B$15,0)),0))</f>
        <v/>
      </c>
      <c r="D685" s="25" t="n"/>
      <c r="E685" s="24" t="n"/>
      <c r="F685" s="27">
        <f>IF(E685="","",IFERROR(INDEX(Lists!$H$4:$H$40,MATCH(E685,Lists!$F$4:$F$40,0)),"UNMAPPED"))</f>
        <v/>
      </c>
      <c r="G685" s="25" t="n"/>
      <c r="H685" s="25" t="n"/>
      <c r="I685" s="25" t="n"/>
      <c r="J685" s="25" t="n"/>
      <c r="K685" s="25" t="n"/>
      <c r="L685" s="29" t="n"/>
      <c r="M685" s="25" t="n"/>
      <c r="N685" s="30" t="n"/>
      <c r="O685" s="31">
        <f>IF(N685="","",IF(G685="Revenue",ROUND(N685*VATRate,2),0))</f>
        <v/>
      </c>
      <c r="P685" s="31">
        <f>IF(N685="","",N685+O685)</f>
        <v/>
      </c>
    </row>
    <row r="686">
      <c r="A686" s="26" t="n"/>
      <c r="B686" s="27">
        <f>IF(A686="","",IF(OR(A686&lt;MIN(Lists!$C$4:$C$15),A686&gt;MAX(Lists!$D$4:$D$15)),"No period",INDEX(Lists!$B$4:$B$15,MATCH(A686,Lists!$C$4:$C$15,1))))</f>
        <v/>
      </c>
      <c r="C686" s="28">
        <f>IF(B686="","",IFERROR(INDEX(Lists!$A$4:$A$15,MATCH(B686,Lists!$B$4:$B$15,0)),0))</f>
        <v/>
      </c>
      <c r="D686" s="25" t="n"/>
      <c r="E686" s="24" t="n"/>
      <c r="F686" s="27">
        <f>IF(E686="","",IFERROR(INDEX(Lists!$H$4:$H$40,MATCH(E686,Lists!$F$4:$F$40,0)),"UNMAPPED"))</f>
        <v/>
      </c>
      <c r="G686" s="25" t="n"/>
      <c r="H686" s="25" t="n"/>
      <c r="I686" s="25" t="n"/>
      <c r="J686" s="25" t="n"/>
      <c r="K686" s="25" t="n"/>
      <c r="L686" s="29" t="n"/>
      <c r="M686" s="25" t="n"/>
      <c r="N686" s="30" t="n"/>
      <c r="O686" s="31">
        <f>IF(N686="","",IF(G686="Revenue",ROUND(N686*VATRate,2),0))</f>
        <v/>
      </c>
      <c r="P686" s="31">
        <f>IF(N686="","",N686+O686)</f>
        <v/>
      </c>
    </row>
    <row r="687">
      <c r="A687" s="26" t="n"/>
      <c r="B687" s="27">
        <f>IF(A687="","",IF(OR(A687&lt;MIN(Lists!$C$4:$C$15),A687&gt;MAX(Lists!$D$4:$D$15)),"No period",INDEX(Lists!$B$4:$B$15,MATCH(A687,Lists!$C$4:$C$15,1))))</f>
        <v/>
      </c>
      <c r="C687" s="28">
        <f>IF(B687="","",IFERROR(INDEX(Lists!$A$4:$A$15,MATCH(B687,Lists!$B$4:$B$15,0)),0))</f>
        <v/>
      </c>
      <c r="D687" s="25" t="n"/>
      <c r="E687" s="24" t="n"/>
      <c r="F687" s="27">
        <f>IF(E687="","",IFERROR(INDEX(Lists!$H$4:$H$40,MATCH(E687,Lists!$F$4:$F$40,0)),"UNMAPPED"))</f>
        <v/>
      </c>
      <c r="G687" s="25" t="n"/>
      <c r="H687" s="25" t="n"/>
      <c r="I687" s="25" t="n"/>
      <c r="J687" s="25" t="n"/>
      <c r="K687" s="25" t="n"/>
      <c r="L687" s="29" t="n"/>
      <c r="M687" s="25" t="n"/>
      <c r="N687" s="30" t="n"/>
      <c r="O687" s="31">
        <f>IF(N687="","",IF(G687="Revenue",ROUND(N687*VATRate,2),0))</f>
        <v/>
      </c>
      <c r="P687" s="31">
        <f>IF(N687="","",N687+O687)</f>
        <v/>
      </c>
    </row>
    <row r="688">
      <c r="A688" s="26" t="n"/>
      <c r="B688" s="27">
        <f>IF(A688="","",IF(OR(A688&lt;MIN(Lists!$C$4:$C$15),A688&gt;MAX(Lists!$D$4:$D$15)),"No period",INDEX(Lists!$B$4:$B$15,MATCH(A688,Lists!$C$4:$C$15,1))))</f>
        <v/>
      </c>
      <c r="C688" s="28">
        <f>IF(B688="","",IFERROR(INDEX(Lists!$A$4:$A$15,MATCH(B688,Lists!$B$4:$B$15,0)),0))</f>
        <v/>
      </c>
      <c r="D688" s="25" t="n"/>
      <c r="E688" s="24" t="n"/>
      <c r="F688" s="27">
        <f>IF(E688="","",IFERROR(INDEX(Lists!$H$4:$H$40,MATCH(E688,Lists!$F$4:$F$40,0)),"UNMAPPED"))</f>
        <v/>
      </c>
      <c r="G688" s="25" t="n"/>
      <c r="H688" s="25" t="n"/>
      <c r="I688" s="25" t="n"/>
      <c r="J688" s="25" t="n"/>
      <c r="K688" s="25" t="n"/>
      <c r="L688" s="29" t="n"/>
      <c r="M688" s="25" t="n"/>
      <c r="N688" s="30" t="n"/>
      <c r="O688" s="31">
        <f>IF(N688="","",IF(G688="Revenue",ROUND(N688*VATRate,2),0))</f>
        <v/>
      </c>
      <c r="P688" s="31">
        <f>IF(N688="","",N688+O688)</f>
        <v/>
      </c>
    </row>
    <row r="689">
      <c r="A689" s="26" t="n"/>
      <c r="B689" s="27">
        <f>IF(A689="","",IF(OR(A689&lt;MIN(Lists!$C$4:$C$15),A689&gt;MAX(Lists!$D$4:$D$15)),"No period",INDEX(Lists!$B$4:$B$15,MATCH(A689,Lists!$C$4:$C$15,1))))</f>
        <v/>
      </c>
      <c r="C689" s="28">
        <f>IF(B689="","",IFERROR(INDEX(Lists!$A$4:$A$15,MATCH(B689,Lists!$B$4:$B$15,0)),0))</f>
        <v/>
      </c>
      <c r="D689" s="25" t="n"/>
      <c r="E689" s="24" t="n"/>
      <c r="F689" s="27">
        <f>IF(E689="","",IFERROR(INDEX(Lists!$H$4:$H$40,MATCH(E689,Lists!$F$4:$F$40,0)),"UNMAPPED"))</f>
        <v/>
      </c>
      <c r="G689" s="25" t="n"/>
      <c r="H689" s="25" t="n"/>
      <c r="I689" s="25" t="n"/>
      <c r="J689" s="25" t="n"/>
      <c r="K689" s="25" t="n"/>
      <c r="L689" s="29" t="n"/>
      <c r="M689" s="25" t="n"/>
      <c r="N689" s="30" t="n"/>
      <c r="O689" s="31">
        <f>IF(N689="","",IF(G689="Revenue",ROUND(N689*VATRate,2),0))</f>
        <v/>
      </c>
      <c r="P689" s="31">
        <f>IF(N689="","",N689+O689)</f>
        <v/>
      </c>
    </row>
    <row r="690">
      <c r="A690" s="26" t="n"/>
      <c r="B690" s="27">
        <f>IF(A690="","",IF(OR(A690&lt;MIN(Lists!$C$4:$C$15),A690&gt;MAX(Lists!$D$4:$D$15)),"No period",INDEX(Lists!$B$4:$B$15,MATCH(A690,Lists!$C$4:$C$15,1))))</f>
        <v/>
      </c>
      <c r="C690" s="28">
        <f>IF(B690="","",IFERROR(INDEX(Lists!$A$4:$A$15,MATCH(B690,Lists!$B$4:$B$15,0)),0))</f>
        <v/>
      </c>
      <c r="D690" s="25" t="n"/>
      <c r="E690" s="24" t="n"/>
      <c r="F690" s="27">
        <f>IF(E690="","",IFERROR(INDEX(Lists!$H$4:$H$40,MATCH(E690,Lists!$F$4:$F$40,0)),"UNMAPPED"))</f>
        <v/>
      </c>
      <c r="G690" s="25" t="n"/>
      <c r="H690" s="25" t="n"/>
      <c r="I690" s="25" t="n"/>
      <c r="J690" s="25" t="n"/>
      <c r="K690" s="25" t="n"/>
      <c r="L690" s="29" t="n"/>
      <c r="M690" s="25" t="n"/>
      <c r="N690" s="30" t="n"/>
      <c r="O690" s="31">
        <f>IF(N690="","",IF(G690="Revenue",ROUND(N690*VATRate,2),0))</f>
        <v/>
      </c>
      <c r="P690" s="31">
        <f>IF(N690="","",N690+O690)</f>
        <v/>
      </c>
    </row>
    <row r="691">
      <c r="A691" s="26" t="n"/>
      <c r="B691" s="27">
        <f>IF(A691="","",IF(OR(A691&lt;MIN(Lists!$C$4:$C$15),A691&gt;MAX(Lists!$D$4:$D$15)),"No period",INDEX(Lists!$B$4:$B$15,MATCH(A691,Lists!$C$4:$C$15,1))))</f>
        <v/>
      </c>
      <c r="C691" s="28">
        <f>IF(B691="","",IFERROR(INDEX(Lists!$A$4:$A$15,MATCH(B691,Lists!$B$4:$B$15,0)),0))</f>
        <v/>
      </c>
      <c r="D691" s="25" t="n"/>
      <c r="E691" s="24" t="n"/>
      <c r="F691" s="27">
        <f>IF(E691="","",IFERROR(INDEX(Lists!$H$4:$H$40,MATCH(E691,Lists!$F$4:$F$40,0)),"UNMAPPED"))</f>
        <v/>
      </c>
      <c r="G691" s="25" t="n"/>
      <c r="H691" s="25" t="n"/>
      <c r="I691" s="25" t="n"/>
      <c r="J691" s="25" t="n"/>
      <c r="K691" s="25" t="n"/>
      <c r="L691" s="29" t="n"/>
      <c r="M691" s="25" t="n"/>
      <c r="N691" s="30" t="n"/>
      <c r="O691" s="31">
        <f>IF(N691="","",IF(G691="Revenue",ROUND(N691*VATRate,2),0))</f>
        <v/>
      </c>
      <c r="P691" s="31">
        <f>IF(N691="","",N691+O691)</f>
        <v/>
      </c>
    </row>
    <row r="692">
      <c r="A692" s="26" t="n"/>
      <c r="B692" s="27">
        <f>IF(A692="","",IF(OR(A692&lt;MIN(Lists!$C$4:$C$15),A692&gt;MAX(Lists!$D$4:$D$15)),"No period",INDEX(Lists!$B$4:$B$15,MATCH(A692,Lists!$C$4:$C$15,1))))</f>
        <v/>
      </c>
      <c r="C692" s="28">
        <f>IF(B692="","",IFERROR(INDEX(Lists!$A$4:$A$15,MATCH(B692,Lists!$B$4:$B$15,0)),0))</f>
        <v/>
      </c>
      <c r="D692" s="25" t="n"/>
      <c r="E692" s="24" t="n"/>
      <c r="F692" s="27">
        <f>IF(E692="","",IFERROR(INDEX(Lists!$H$4:$H$40,MATCH(E692,Lists!$F$4:$F$40,0)),"UNMAPPED"))</f>
        <v/>
      </c>
      <c r="G692" s="25" t="n"/>
      <c r="H692" s="25" t="n"/>
      <c r="I692" s="25" t="n"/>
      <c r="J692" s="25" t="n"/>
      <c r="K692" s="25" t="n"/>
      <c r="L692" s="29" t="n"/>
      <c r="M692" s="25" t="n"/>
      <c r="N692" s="30" t="n"/>
      <c r="O692" s="31">
        <f>IF(N692="","",IF(G692="Revenue",ROUND(N692*VATRate,2),0))</f>
        <v/>
      </c>
      <c r="P692" s="31">
        <f>IF(N692="","",N692+O692)</f>
        <v/>
      </c>
    </row>
    <row r="693">
      <c r="A693" s="26" t="n"/>
      <c r="B693" s="27">
        <f>IF(A693="","",IF(OR(A693&lt;MIN(Lists!$C$4:$C$15),A693&gt;MAX(Lists!$D$4:$D$15)),"No period",INDEX(Lists!$B$4:$B$15,MATCH(A693,Lists!$C$4:$C$15,1))))</f>
        <v/>
      </c>
      <c r="C693" s="28">
        <f>IF(B693="","",IFERROR(INDEX(Lists!$A$4:$A$15,MATCH(B693,Lists!$B$4:$B$15,0)),0))</f>
        <v/>
      </c>
      <c r="D693" s="25" t="n"/>
      <c r="E693" s="24" t="n"/>
      <c r="F693" s="27">
        <f>IF(E693="","",IFERROR(INDEX(Lists!$H$4:$H$40,MATCH(E693,Lists!$F$4:$F$40,0)),"UNMAPPED"))</f>
        <v/>
      </c>
      <c r="G693" s="25" t="n"/>
      <c r="H693" s="25" t="n"/>
      <c r="I693" s="25" t="n"/>
      <c r="J693" s="25" t="n"/>
      <c r="K693" s="25" t="n"/>
      <c r="L693" s="29" t="n"/>
      <c r="M693" s="25" t="n"/>
      <c r="N693" s="30" t="n"/>
      <c r="O693" s="31">
        <f>IF(N693="","",IF(G693="Revenue",ROUND(N693*VATRate,2),0))</f>
        <v/>
      </c>
      <c r="P693" s="31">
        <f>IF(N693="","",N693+O693)</f>
        <v/>
      </c>
    </row>
    <row r="694">
      <c r="A694" s="26" t="n"/>
      <c r="B694" s="27">
        <f>IF(A694="","",IF(OR(A694&lt;MIN(Lists!$C$4:$C$15),A694&gt;MAX(Lists!$D$4:$D$15)),"No period",INDEX(Lists!$B$4:$B$15,MATCH(A694,Lists!$C$4:$C$15,1))))</f>
        <v/>
      </c>
      <c r="C694" s="28">
        <f>IF(B694="","",IFERROR(INDEX(Lists!$A$4:$A$15,MATCH(B694,Lists!$B$4:$B$15,0)),0))</f>
        <v/>
      </c>
      <c r="D694" s="25" t="n"/>
      <c r="E694" s="24" t="n"/>
      <c r="F694" s="27">
        <f>IF(E694="","",IFERROR(INDEX(Lists!$H$4:$H$40,MATCH(E694,Lists!$F$4:$F$40,0)),"UNMAPPED"))</f>
        <v/>
      </c>
      <c r="G694" s="25" t="n"/>
      <c r="H694" s="25" t="n"/>
      <c r="I694" s="25" t="n"/>
      <c r="J694" s="25" t="n"/>
      <c r="K694" s="25" t="n"/>
      <c r="L694" s="29" t="n"/>
      <c r="M694" s="25" t="n"/>
      <c r="N694" s="30" t="n"/>
      <c r="O694" s="31">
        <f>IF(N694="","",IF(G694="Revenue",ROUND(N694*VATRate,2),0))</f>
        <v/>
      </c>
      <c r="P694" s="31">
        <f>IF(N694="","",N694+O694)</f>
        <v/>
      </c>
    </row>
    <row r="695">
      <c r="A695" s="26" t="n"/>
      <c r="B695" s="27">
        <f>IF(A695="","",IF(OR(A695&lt;MIN(Lists!$C$4:$C$15),A695&gt;MAX(Lists!$D$4:$D$15)),"No period",INDEX(Lists!$B$4:$B$15,MATCH(A695,Lists!$C$4:$C$15,1))))</f>
        <v/>
      </c>
      <c r="C695" s="28">
        <f>IF(B695="","",IFERROR(INDEX(Lists!$A$4:$A$15,MATCH(B695,Lists!$B$4:$B$15,0)),0))</f>
        <v/>
      </c>
      <c r="D695" s="25" t="n"/>
      <c r="E695" s="24" t="n"/>
      <c r="F695" s="27">
        <f>IF(E695="","",IFERROR(INDEX(Lists!$H$4:$H$40,MATCH(E695,Lists!$F$4:$F$40,0)),"UNMAPPED"))</f>
        <v/>
      </c>
      <c r="G695" s="25" t="n"/>
      <c r="H695" s="25" t="n"/>
      <c r="I695" s="25" t="n"/>
      <c r="J695" s="25" t="n"/>
      <c r="K695" s="25" t="n"/>
      <c r="L695" s="29" t="n"/>
      <c r="M695" s="25" t="n"/>
      <c r="N695" s="30" t="n"/>
      <c r="O695" s="31">
        <f>IF(N695="","",IF(G695="Revenue",ROUND(N695*VATRate,2),0))</f>
        <v/>
      </c>
      <c r="P695" s="31">
        <f>IF(N695="","",N695+O695)</f>
        <v/>
      </c>
    </row>
    <row r="696">
      <c r="A696" s="26" t="n"/>
      <c r="B696" s="27">
        <f>IF(A696="","",IF(OR(A696&lt;MIN(Lists!$C$4:$C$15),A696&gt;MAX(Lists!$D$4:$D$15)),"No period",INDEX(Lists!$B$4:$B$15,MATCH(A696,Lists!$C$4:$C$15,1))))</f>
        <v/>
      </c>
      <c r="C696" s="28">
        <f>IF(B696="","",IFERROR(INDEX(Lists!$A$4:$A$15,MATCH(B696,Lists!$B$4:$B$15,0)),0))</f>
        <v/>
      </c>
      <c r="D696" s="25" t="n"/>
      <c r="E696" s="24" t="n"/>
      <c r="F696" s="27">
        <f>IF(E696="","",IFERROR(INDEX(Lists!$H$4:$H$40,MATCH(E696,Lists!$F$4:$F$40,0)),"UNMAPPED"))</f>
        <v/>
      </c>
      <c r="G696" s="25" t="n"/>
      <c r="H696" s="25" t="n"/>
      <c r="I696" s="25" t="n"/>
      <c r="J696" s="25" t="n"/>
      <c r="K696" s="25" t="n"/>
      <c r="L696" s="29" t="n"/>
      <c r="M696" s="25" t="n"/>
      <c r="N696" s="30" t="n"/>
      <c r="O696" s="31">
        <f>IF(N696="","",IF(G696="Revenue",ROUND(N696*VATRate,2),0))</f>
        <v/>
      </c>
      <c r="P696" s="31">
        <f>IF(N696="","",N696+O696)</f>
        <v/>
      </c>
    </row>
    <row r="697">
      <c r="A697" s="26" t="n"/>
      <c r="B697" s="27">
        <f>IF(A697="","",IF(OR(A697&lt;MIN(Lists!$C$4:$C$15),A697&gt;MAX(Lists!$D$4:$D$15)),"No period",INDEX(Lists!$B$4:$B$15,MATCH(A697,Lists!$C$4:$C$15,1))))</f>
        <v/>
      </c>
      <c r="C697" s="28">
        <f>IF(B697="","",IFERROR(INDEX(Lists!$A$4:$A$15,MATCH(B697,Lists!$B$4:$B$15,0)),0))</f>
        <v/>
      </c>
      <c r="D697" s="25" t="n"/>
      <c r="E697" s="24" t="n"/>
      <c r="F697" s="27">
        <f>IF(E697="","",IFERROR(INDEX(Lists!$H$4:$H$40,MATCH(E697,Lists!$F$4:$F$40,0)),"UNMAPPED"))</f>
        <v/>
      </c>
      <c r="G697" s="25" t="n"/>
      <c r="H697" s="25" t="n"/>
      <c r="I697" s="25" t="n"/>
      <c r="J697" s="25" t="n"/>
      <c r="K697" s="25" t="n"/>
      <c r="L697" s="29" t="n"/>
      <c r="M697" s="25" t="n"/>
      <c r="N697" s="30" t="n"/>
      <c r="O697" s="31">
        <f>IF(N697="","",IF(G697="Revenue",ROUND(N697*VATRate,2),0))</f>
        <v/>
      </c>
      <c r="P697" s="31">
        <f>IF(N697="","",N697+O697)</f>
        <v/>
      </c>
    </row>
    <row r="698">
      <c r="A698" s="26" t="n"/>
      <c r="B698" s="27">
        <f>IF(A698="","",IF(OR(A698&lt;MIN(Lists!$C$4:$C$15),A698&gt;MAX(Lists!$D$4:$D$15)),"No period",INDEX(Lists!$B$4:$B$15,MATCH(A698,Lists!$C$4:$C$15,1))))</f>
        <v/>
      </c>
      <c r="C698" s="28">
        <f>IF(B698="","",IFERROR(INDEX(Lists!$A$4:$A$15,MATCH(B698,Lists!$B$4:$B$15,0)),0))</f>
        <v/>
      </c>
      <c r="D698" s="25" t="n"/>
      <c r="E698" s="24" t="n"/>
      <c r="F698" s="27">
        <f>IF(E698="","",IFERROR(INDEX(Lists!$H$4:$H$40,MATCH(E698,Lists!$F$4:$F$40,0)),"UNMAPPED"))</f>
        <v/>
      </c>
      <c r="G698" s="25" t="n"/>
      <c r="H698" s="25" t="n"/>
      <c r="I698" s="25" t="n"/>
      <c r="J698" s="25" t="n"/>
      <c r="K698" s="25" t="n"/>
      <c r="L698" s="29" t="n"/>
      <c r="M698" s="25" t="n"/>
      <c r="N698" s="30" t="n"/>
      <c r="O698" s="31">
        <f>IF(N698="","",IF(G698="Revenue",ROUND(N698*VATRate,2),0))</f>
        <v/>
      </c>
      <c r="P698" s="31">
        <f>IF(N698="","",N698+O698)</f>
        <v/>
      </c>
    </row>
    <row r="699">
      <c r="A699" s="26" t="n"/>
      <c r="B699" s="27">
        <f>IF(A699="","",IF(OR(A699&lt;MIN(Lists!$C$4:$C$15),A699&gt;MAX(Lists!$D$4:$D$15)),"No period",INDEX(Lists!$B$4:$B$15,MATCH(A699,Lists!$C$4:$C$15,1))))</f>
        <v/>
      </c>
      <c r="C699" s="28">
        <f>IF(B699="","",IFERROR(INDEX(Lists!$A$4:$A$15,MATCH(B699,Lists!$B$4:$B$15,0)),0))</f>
        <v/>
      </c>
      <c r="D699" s="25" t="n"/>
      <c r="E699" s="24" t="n"/>
      <c r="F699" s="27">
        <f>IF(E699="","",IFERROR(INDEX(Lists!$H$4:$H$40,MATCH(E699,Lists!$F$4:$F$40,0)),"UNMAPPED"))</f>
        <v/>
      </c>
      <c r="G699" s="25" t="n"/>
      <c r="H699" s="25" t="n"/>
      <c r="I699" s="25" t="n"/>
      <c r="J699" s="25" t="n"/>
      <c r="K699" s="25" t="n"/>
      <c r="L699" s="29" t="n"/>
      <c r="M699" s="25" t="n"/>
      <c r="N699" s="30" t="n"/>
      <c r="O699" s="31">
        <f>IF(N699="","",IF(G699="Revenue",ROUND(N699*VATRate,2),0))</f>
        <v/>
      </c>
      <c r="P699" s="31">
        <f>IF(N699="","",N699+O699)</f>
        <v/>
      </c>
    </row>
    <row r="700">
      <c r="A700" s="26" t="n"/>
      <c r="B700" s="27">
        <f>IF(A700="","",IF(OR(A700&lt;MIN(Lists!$C$4:$C$15),A700&gt;MAX(Lists!$D$4:$D$15)),"No period",INDEX(Lists!$B$4:$B$15,MATCH(A700,Lists!$C$4:$C$15,1))))</f>
        <v/>
      </c>
      <c r="C700" s="28">
        <f>IF(B700="","",IFERROR(INDEX(Lists!$A$4:$A$15,MATCH(B700,Lists!$B$4:$B$15,0)),0))</f>
        <v/>
      </c>
      <c r="D700" s="25" t="n"/>
      <c r="E700" s="24" t="n"/>
      <c r="F700" s="27">
        <f>IF(E700="","",IFERROR(INDEX(Lists!$H$4:$H$40,MATCH(E700,Lists!$F$4:$F$40,0)),"UNMAPPED"))</f>
        <v/>
      </c>
      <c r="G700" s="25" t="n"/>
      <c r="H700" s="25" t="n"/>
      <c r="I700" s="25" t="n"/>
      <c r="J700" s="25" t="n"/>
      <c r="K700" s="25" t="n"/>
      <c r="L700" s="29" t="n"/>
      <c r="M700" s="25" t="n"/>
      <c r="N700" s="30" t="n"/>
      <c r="O700" s="31">
        <f>IF(N700="","",IF(G700="Revenue",ROUND(N700*VATRate,2),0))</f>
        <v/>
      </c>
      <c r="P700" s="31">
        <f>IF(N700="","",N700+O700)</f>
        <v/>
      </c>
    </row>
    <row r="701">
      <c r="A701" s="26" t="n"/>
      <c r="B701" s="27">
        <f>IF(A701="","",IF(OR(A701&lt;MIN(Lists!$C$4:$C$15),A701&gt;MAX(Lists!$D$4:$D$15)),"No period",INDEX(Lists!$B$4:$B$15,MATCH(A701,Lists!$C$4:$C$15,1))))</f>
        <v/>
      </c>
      <c r="C701" s="28">
        <f>IF(B701="","",IFERROR(INDEX(Lists!$A$4:$A$15,MATCH(B701,Lists!$B$4:$B$15,0)),0))</f>
        <v/>
      </c>
      <c r="D701" s="25" t="n"/>
      <c r="E701" s="24" t="n"/>
      <c r="F701" s="27">
        <f>IF(E701="","",IFERROR(INDEX(Lists!$H$4:$H$40,MATCH(E701,Lists!$F$4:$F$40,0)),"UNMAPPED"))</f>
        <v/>
      </c>
      <c r="G701" s="25" t="n"/>
      <c r="H701" s="25" t="n"/>
      <c r="I701" s="25" t="n"/>
      <c r="J701" s="25" t="n"/>
      <c r="K701" s="25" t="n"/>
      <c r="L701" s="29" t="n"/>
      <c r="M701" s="25" t="n"/>
      <c r="N701" s="30" t="n"/>
      <c r="O701" s="31">
        <f>IF(N701="","",IF(G701="Revenue",ROUND(N701*VATRate,2),0))</f>
        <v/>
      </c>
      <c r="P701" s="31">
        <f>IF(N701="","",N701+O701)</f>
        <v/>
      </c>
    </row>
    <row r="702">
      <c r="A702" s="26" t="n"/>
      <c r="B702" s="27">
        <f>IF(A702="","",IF(OR(A702&lt;MIN(Lists!$C$4:$C$15),A702&gt;MAX(Lists!$D$4:$D$15)),"No period",INDEX(Lists!$B$4:$B$15,MATCH(A702,Lists!$C$4:$C$15,1))))</f>
        <v/>
      </c>
      <c r="C702" s="28">
        <f>IF(B702="","",IFERROR(INDEX(Lists!$A$4:$A$15,MATCH(B702,Lists!$B$4:$B$15,0)),0))</f>
        <v/>
      </c>
      <c r="D702" s="25" t="n"/>
      <c r="E702" s="24" t="n"/>
      <c r="F702" s="27">
        <f>IF(E702="","",IFERROR(INDEX(Lists!$H$4:$H$40,MATCH(E702,Lists!$F$4:$F$40,0)),"UNMAPPED"))</f>
        <v/>
      </c>
      <c r="G702" s="25" t="n"/>
      <c r="H702" s="25" t="n"/>
      <c r="I702" s="25" t="n"/>
      <c r="J702" s="25" t="n"/>
      <c r="K702" s="25" t="n"/>
      <c r="L702" s="29" t="n"/>
      <c r="M702" s="25" t="n"/>
      <c r="N702" s="30" t="n"/>
      <c r="O702" s="31">
        <f>IF(N702="","",IF(G702="Revenue",ROUND(N702*VATRate,2),0))</f>
        <v/>
      </c>
      <c r="P702" s="31">
        <f>IF(N702="","",N702+O702)</f>
        <v/>
      </c>
    </row>
    <row r="703">
      <c r="A703" s="26" t="n"/>
      <c r="B703" s="27">
        <f>IF(A703="","",IF(OR(A703&lt;MIN(Lists!$C$4:$C$15),A703&gt;MAX(Lists!$D$4:$D$15)),"No period",INDEX(Lists!$B$4:$B$15,MATCH(A703,Lists!$C$4:$C$15,1))))</f>
        <v/>
      </c>
      <c r="C703" s="28">
        <f>IF(B703="","",IFERROR(INDEX(Lists!$A$4:$A$15,MATCH(B703,Lists!$B$4:$B$15,0)),0))</f>
        <v/>
      </c>
      <c r="D703" s="25" t="n"/>
      <c r="E703" s="24" t="n"/>
      <c r="F703" s="27">
        <f>IF(E703="","",IFERROR(INDEX(Lists!$H$4:$H$40,MATCH(E703,Lists!$F$4:$F$40,0)),"UNMAPPED"))</f>
        <v/>
      </c>
      <c r="G703" s="25" t="n"/>
      <c r="H703" s="25" t="n"/>
      <c r="I703" s="25" t="n"/>
      <c r="J703" s="25" t="n"/>
      <c r="K703" s="25" t="n"/>
      <c r="L703" s="29" t="n"/>
      <c r="M703" s="25" t="n"/>
      <c r="N703" s="30" t="n"/>
      <c r="O703" s="31">
        <f>IF(N703="","",IF(G703="Revenue",ROUND(N703*VATRate,2),0))</f>
        <v/>
      </c>
      <c r="P703" s="31">
        <f>IF(N703="","",N703+O703)</f>
        <v/>
      </c>
    </row>
    <row r="704">
      <c r="A704" s="26" t="n"/>
      <c r="B704" s="27">
        <f>IF(A704="","",IF(OR(A704&lt;MIN(Lists!$C$4:$C$15),A704&gt;MAX(Lists!$D$4:$D$15)),"No period",INDEX(Lists!$B$4:$B$15,MATCH(A704,Lists!$C$4:$C$15,1))))</f>
        <v/>
      </c>
      <c r="C704" s="28">
        <f>IF(B704="","",IFERROR(INDEX(Lists!$A$4:$A$15,MATCH(B704,Lists!$B$4:$B$15,0)),0))</f>
        <v/>
      </c>
      <c r="D704" s="25" t="n"/>
      <c r="E704" s="24" t="n"/>
      <c r="F704" s="27">
        <f>IF(E704="","",IFERROR(INDEX(Lists!$H$4:$H$40,MATCH(E704,Lists!$F$4:$F$40,0)),"UNMAPPED"))</f>
        <v/>
      </c>
      <c r="G704" s="25" t="n"/>
      <c r="H704" s="25" t="n"/>
      <c r="I704" s="25" t="n"/>
      <c r="J704" s="25" t="n"/>
      <c r="K704" s="25" t="n"/>
      <c r="L704" s="29" t="n"/>
      <c r="M704" s="25" t="n"/>
      <c r="N704" s="30" t="n"/>
      <c r="O704" s="31">
        <f>IF(N704="","",IF(G704="Revenue",ROUND(N704*VATRate,2),0))</f>
        <v/>
      </c>
      <c r="P704" s="31">
        <f>IF(N704="","",N704+O704)</f>
        <v/>
      </c>
    </row>
    <row r="705">
      <c r="A705" s="26" t="n"/>
      <c r="B705" s="27">
        <f>IF(A705="","",IF(OR(A705&lt;MIN(Lists!$C$4:$C$15),A705&gt;MAX(Lists!$D$4:$D$15)),"No period",INDEX(Lists!$B$4:$B$15,MATCH(A705,Lists!$C$4:$C$15,1))))</f>
        <v/>
      </c>
      <c r="C705" s="28">
        <f>IF(B705="","",IFERROR(INDEX(Lists!$A$4:$A$15,MATCH(B705,Lists!$B$4:$B$15,0)),0))</f>
        <v/>
      </c>
      <c r="D705" s="25" t="n"/>
      <c r="E705" s="24" t="n"/>
      <c r="F705" s="27">
        <f>IF(E705="","",IFERROR(INDEX(Lists!$H$4:$H$40,MATCH(E705,Lists!$F$4:$F$40,0)),"UNMAPPED"))</f>
        <v/>
      </c>
      <c r="G705" s="25" t="n"/>
      <c r="H705" s="25" t="n"/>
      <c r="I705" s="25" t="n"/>
      <c r="J705" s="25" t="n"/>
      <c r="K705" s="25" t="n"/>
      <c r="L705" s="29" t="n"/>
      <c r="M705" s="25" t="n"/>
      <c r="N705" s="30" t="n"/>
      <c r="O705" s="31">
        <f>IF(N705="","",IF(G705="Revenue",ROUND(N705*VATRate,2),0))</f>
        <v/>
      </c>
      <c r="P705" s="31">
        <f>IF(N705="","",N705+O705)</f>
        <v/>
      </c>
    </row>
    <row r="706">
      <c r="A706" s="26" t="n"/>
      <c r="B706" s="27">
        <f>IF(A706="","",IF(OR(A706&lt;MIN(Lists!$C$4:$C$15),A706&gt;MAX(Lists!$D$4:$D$15)),"No period",INDEX(Lists!$B$4:$B$15,MATCH(A706,Lists!$C$4:$C$15,1))))</f>
        <v/>
      </c>
      <c r="C706" s="28">
        <f>IF(B706="","",IFERROR(INDEX(Lists!$A$4:$A$15,MATCH(B706,Lists!$B$4:$B$15,0)),0))</f>
        <v/>
      </c>
      <c r="D706" s="25" t="n"/>
      <c r="E706" s="24" t="n"/>
      <c r="F706" s="27">
        <f>IF(E706="","",IFERROR(INDEX(Lists!$H$4:$H$40,MATCH(E706,Lists!$F$4:$F$40,0)),"UNMAPPED"))</f>
        <v/>
      </c>
      <c r="G706" s="25" t="n"/>
      <c r="H706" s="25" t="n"/>
      <c r="I706" s="25" t="n"/>
      <c r="J706" s="25" t="n"/>
      <c r="K706" s="25" t="n"/>
      <c r="L706" s="29" t="n"/>
      <c r="M706" s="25" t="n"/>
      <c r="N706" s="30" t="n"/>
      <c r="O706" s="31">
        <f>IF(N706="","",IF(G706="Revenue",ROUND(N706*VATRate,2),0))</f>
        <v/>
      </c>
      <c r="P706" s="31">
        <f>IF(N706="","",N706+O706)</f>
        <v/>
      </c>
    </row>
    <row r="707">
      <c r="A707" s="26" t="n"/>
      <c r="B707" s="27">
        <f>IF(A707="","",IF(OR(A707&lt;MIN(Lists!$C$4:$C$15),A707&gt;MAX(Lists!$D$4:$D$15)),"No period",INDEX(Lists!$B$4:$B$15,MATCH(A707,Lists!$C$4:$C$15,1))))</f>
        <v/>
      </c>
      <c r="C707" s="28">
        <f>IF(B707="","",IFERROR(INDEX(Lists!$A$4:$A$15,MATCH(B707,Lists!$B$4:$B$15,0)),0))</f>
        <v/>
      </c>
      <c r="D707" s="25" t="n"/>
      <c r="E707" s="24" t="n"/>
      <c r="F707" s="27">
        <f>IF(E707="","",IFERROR(INDEX(Lists!$H$4:$H$40,MATCH(E707,Lists!$F$4:$F$40,0)),"UNMAPPED"))</f>
        <v/>
      </c>
      <c r="G707" s="25" t="n"/>
      <c r="H707" s="25" t="n"/>
      <c r="I707" s="25" t="n"/>
      <c r="J707" s="25" t="n"/>
      <c r="K707" s="25" t="n"/>
      <c r="L707" s="29" t="n"/>
      <c r="M707" s="25" t="n"/>
      <c r="N707" s="30" t="n"/>
      <c r="O707" s="31">
        <f>IF(N707="","",IF(G707="Revenue",ROUND(N707*VATRate,2),0))</f>
        <v/>
      </c>
      <c r="P707" s="31">
        <f>IF(N707="","",N707+O707)</f>
        <v/>
      </c>
    </row>
    <row r="708">
      <c r="A708" s="26" t="n"/>
      <c r="B708" s="27">
        <f>IF(A708="","",IF(OR(A708&lt;MIN(Lists!$C$4:$C$15),A708&gt;MAX(Lists!$D$4:$D$15)),"No period",INDEX(Lists!$B$4:$B$15,MATCH(A708,Lists!$C$4:$C$15,1))))</f>
        <v/>
      </c>
      <c r="C708" s="28">
        <f>IF(B708="","",IFERROR(INDEX(Lists!$A$4:$A$15,MATCH(B708,Lists!$B$4:$B$15,0)),0))</f>
        <v/>
      </c>
      <c r="D708" s="25" t="n"/>
      <c r="E708" s="24" t="n"/>
      <c r="F708" s="27">
        <f>IF(E708="","",IFERROR(INDEX(Lists!$H$4:$H$40,MATCH(E708,Lists!$F$4:$F$40,0)),"UNMAPPED"))</f>
        <v/>
      </c>
      <c r="G708" s="25" t="n"/>
      <c r="H708" s="25" t="n"/>
      <c r="I708" s="25" t="n"/>
      <c r="J708" s="25" t="n"/>
      <c r="K708" s="25" t="n"/>
      <c r="L708" s="29" t="n"/>
      <c r="M708" s="25" t="n"/>
      <c r="N708" s="30" t="n"/>
      <c r="O708" s="31">
        <f>IF(N708="","",IF(G708="Revenue",ROUND(N708*VATRate,2),0))</f>
        <v/>
      </c>
      <c r="P708" s="31">
        <f>IF(N708="","",N708+O708)</f>
        <v/>
      </c>
    </row>
    <row r="709">
      <c r="A709" s="26" t="n"/>
      <c r="B709" s="27">
        <f>IF(A709="","",IF(OR(A709&lt;MIN(Lists!$C$4:$C$15),A709&gt;MAX(Lists!$D$4:$D$15)),"No period",INDEX(Lists!$B$4:$B$15,MATCH(A709,Lists!$C$4:$C$15,1))))</f>
        <v/>
      </c>
      <c r="C709" s="28">
        <f>IF(B709="","",IFERROR(INDEX(Lists!$A$4:$A$15,MATCH(B709,Lists!$B$4:$B$15,0)),0))</f>
        <v/>
      </c>
      <c r="D709" s="25" t="n"/>
      <c r="E709" s="24" t="n"/>
      <c r="F709" s="27">
        <f>IF(E709="","",IFERROR(INDEX(Lists!$H$4:$H$40,MATCH(E709,Lists!$F$4:$F$40,0)),"UNMAPPED"))</f>
        <v/>
      </c>
      <c r="G709" s="25" t="n"/>
      <c r="H709" s="25" t="n"/>
      <c r="I709" s="25" t="n"/>
      <c r="J709" s="25" t="n"/>
      <c r="K709" s="25" t="n"/>
      <c r="L709" s="29" t="n"/>
      <c r="M709" s="25" t="n"/>
      <c r="N709" s="30" t="n"/>
      <c r="O709" s="31">
        <f>IF(N709="","",IF(G709="Revenue",ROUND(N709*VATRate,2),0))</f>
        <v/>
      </c>
      <c r="P709" s="31">
        <f>IF(N709="","",N709+O709)</f>
        <v/>
      </c>
    </row>
    <row r="710">
      <c r="A710" s="26" t="n"/>
      <c r="B710" s="27">
        <f>IF(A710="","",IF(OR(A710&lt;MIN(Lists!$C$4:$C$15),A710&gt;MAX(Lists!$D$4:$D$15)),"No period",INDEX(Lists!$B$4:$B$15,MATCH(A710,Lists!$C$4:$C$15,1))))</f>
        <v/>
      </c>
      <c r="C710" s="28">
        <f>IF(B710="","",IFERROR(INDEX(Lists!$A$4:$A$15,MATCH(B710,Lists!$B$4:$B$15,0)),0))</f>
        <v/>
      </c>
      <c r="D710" s="25" t="n"/>
      <c r="E710" s="24" t="n"/>
      <c r="F710" s="27">
        <f>IF(E710="","",IFERROR(INDEX(Lists!$H$4:$H$40,MATCH(E710,Lists!$F$4:$F$40,0)),"UNMAPPED"))</f>
        <v/>
      </c>
      <c r="G710" s="25" t="n"/>
      <c r="H710" s="25" t="n"/>
      <c r="I710" s="25" t="n"/>
      <c r="J710" s="25" t="n"/>
      <c r="K710" s="25" t="n"/>
      <c r="L710" s="29" t="n"/>
      <c r="M710" s="25" t="n"/>
      <c r="N710" s="30" t="n"/>
      <c r="O710" s="31">
        <f>IF(N710="","",IF(G710="Revenue",ROUND(N710*VATRate,2),0))</f>
        <v/>
      </c>
      <c r="P710" s="31">
        <f>IF(N710="","",N710+O710)</f>
        <v/>
      </c>
    </row>
    <row r="711">
      <c r="A711" s="26" t="n"/>
      <c r="B711" s="27">
        <f>IF(A711="","",IF(OR(A711&lt;MIN(Lists!$C$4:$C$15),A711&gt;MAX(Lists!$D$4:$D$15)),"No period",INDEX(Lists!$B$4:$B$15,MATCH(A711,Lists!$C$4:$C$15,1))))</f>
        <v/>
      </c>
      <c r="C711" s="28">
        <f>IF(B711="","",IFERROR(INDEX(Lists!$A$4:$A$15,MATCH(B711,Lists!$B$4:$B$15,0)),0))</f>
        <v/>
      </c>
      <c r="D711" s="25" t="n"/>
      <c r="E711" s="24" t="n"/>
      <c r="F711" s="27">
        <f>IF(E711="","",IFERROR(INDEX(Lists!$H$4:$H$40,MATCH(E711,Lists!$F$4:$F$40,0)),"UNMAPPED"))</f>
        <v/>
      </c>
      <c r="G711" s="25" t="n"/>
      <c r="H711" s="25" t="n"/>
      <c r="I711" s="25" t="n"/>
      <c r="J711" s="25" t="n"/>
      <c r="K711" s="25" t="n"/>
      <c r="L711" s="29" t="n"/>
      <c r="M711" s="25" t="n"/>
      <c r="N711" s="30" t="n"/>
      <c r="O711" s="31">
        <f>IF(N711="","",IF(G711="Revenue",ROUND(N711*VATRate,2),0))</f>
        <v/>
      </c>
      <c r="P711" s="31">
        <f>IF(N711="","",N711+O711)</f>
        <v/>
      </c>
    </row>
    <row r="712">
      <c r="A712" s="26" t="n"/>
      <c r="B712" s="27">
        <f>IF(A712="","",IF(OR(A712&lt;MIN(Lists!$C$4:$C$15),A712&gt;MAX(Lists!$D$4:$D$15)),"No period",INDEX(Lists!$B$4:$B$15,MATCH(A712,Lists!$C$4:$C$15,1))))</f>
        <v/>
      </c>
      <c r="C712" s="28">
        <f>IF(B712="","",IFERROR(INDEX(Lists!$A$4:$A$15,MATCH(B712,Lists!$B$4:$B$15,0)),0))</f>
        <v/>
      </c>
      <c r="D712" s="25" t="n"/>
      <c r="E712" s="24" t="n"/>
      <c r="F712" s="27">
        <f>IF(E712="","",IFERROR(INDEX(Lists!$H$4:$H$40,MATCH(E712,Lists!$F$4:$F$40,0)),"UNMAPPED"))</f>
        <v/>
      </c>
      <c r="G712" s="25" t="n"/>
      <c r="H712" s="25" t="n"/>
      <c r="I712" s="25" t="n"/>
      <c r="J712" s="25" t="n"/>
      <c r="K712" s="25" t="n"/>
      <c r="L712" s="29" t="n"/>
      <c r="M712" s="25" t="n"/>
      <c r="N712" s="30" t="n"/>
      <c r="O712" s="31">
        <f>IF(N712="","",IF(G712="Revenue",ROUND(N712*VATRate,2),0))</f>
        <v/>
      </c>
      <c r="P712" s="31">
        <f>IF(N712="","",N712+O712)</f>
        <v/>
      </c>
    </row>
    <row r="713">
      <c r="A713" s="26" t="n"/>
      <c r="B713" s="27">
        <f>IF(A713="","",IF(OR(A713&lt;MIN(Lists!$C$4:$C$15),A713&gt;MAX(Lists!$D$4:$D$15)),"No period",INDEX(Lists!$B$4:$B$15,MATCH(A713,Lists!$C$4:$C$15,1))))</f>
        <v/>
      </c>
      <c r="C713" s="28">
        <f>IF(B713="","",IFERROR(INDEX(Lists!$A$4:$A$15,MATCH(B713,Lists!$B$4:$B$15,0)),0))</f>
        <v/>
      </c>
      <c r="D713" s="25" t="n"/>
      <c r="E713" s="24" t="n"/>
      <c r="F713" s="27">
        <f>IF(E713="","",IFERROR(INDEX(Lists!$H$4:$H$40,MATCH(E713,Lists!$F$4:$F$40,0)),"UNMAPPED"))</f>
        <v/>
      </c>
      <c r="G713" s="25" t="n"/>
      <c r="H713" s="25" t="n"/>
      <c r="I713" s="25" t="n"/>
      <c r="J713" s="25" t="n"/>
      <c r="K713" s="25" t="n"/>
      <c r="L713" s="29" t="n"/>
      <c r="M713" s="25" t="n"/>
      <c r="N713" s="30" t="n"/>
      <c r="O713" s="31">
        <f>IF(N713="","",IF(G713="Revenue",ROUND(N713*VATRate,2),0))</f>
        <v/>
      </c>
      <c r="P713" s="31">
        <f>IF(N713="","",N713+O713)</f>
        <v/>
      </c>
    </row>
    <row r="714">
      <c r="A714" s="26" t="n"/>
      <c r="B714" s="27">
        <f>IF(A714="","",IF(OR(A714&lt;MIN(Lists!$C$4:$C$15),A714&gt;MAX(Lists!$D$4:$D$15)),"No period",INDEX(Lists!$B$4:$B$15,MATCH(A714,Lists!$C$4:$C$15,1))))</f>
        <v/>
      </c>
      <c r="C714" s="28">
        <f>IF(B714="","",IFERROR(INDEX(Lists!$A$4:$A$15,MATCH(B714,Lists!$B$4:$B$15,0)),0))</f>
        <v/>
      </c>
      <c r="D714" s="25" t="n"/>
      <c r="E714" s="24" t="n"/>
      <c r="F714" s="27">
        <f>IF(E714="","",IFERROR(INDEX(Lists!$H$4:$H$40,MATCH(E714,Lists!$F$4:$F$40,0)),"UNMAPPED"))</f>
        <v/>
      </c>
      <c r="G714" s="25" t="n"/>
      <c r="H714" s="25" t="n"/>
      <c r="I714" s="25" t="n"/>
      <c r="J714" s="25" t="n"/>
      <c r="K714" s="25" t="n"/>
      <c r="L714" s="29" t="n"/>
      <c r="M714" s="25" t="n"/>
      <c r="N714" s="30" t="n"/>
      <c r="O714" s="31">
        <f>IF(N714="","",IF(G714="Revenue",ROUND(N714*VATRate,2),0))</f>
        <v/>
      </c>
      <c r="P714" s="31">
        <f>IF(N714="","",N714+O714)</f>
        <v/>
      </c>
    </row>
    <row r="715">
      <c r="A715" s="26" t="n"/>
      <c r="B715" s="27">
        <f>IF(A715="","",IF(OR(A715&lt;MIN(Lists!$C$4:$C$15),A715&gt;MAX(Lists!$D$4:$D$15)),"No period",INDEX(Lists!$B$4:$B$15,MATCH(A715,Lists!$C$4:$C$15,1))))</f>
        <v/>
      </c>
      <c r="C715" s="28">
        <f>IF(B715="","",IFERROR(INDEX(Lists!$A$4:$A$15,MATCH(B715,Lists!$B$4:$B$15,0)),0))</f>
        <v/>
      </c>
      <c r="D715" s="25" t="n"/>
      <c r="E715" s="24" t="n"/>
      <c r="F715" s="27">
        <f>IF(E715="","",IFERROR(INDEX(Lists!$H$4:$H$40,MATCH(E715,Lists!$F$4:$F$40,0)),"UNMAPPED"))</f>
        <v/>
      </c>
      <c r="G715" s="25" t="n"/>
      <c r="H715" s="25" t="n"/>
      <c r="I715" s="25" t="n"/>
      <c r="J715" s="25" t="n"/>
      <c r="K715" s="25" t="n"/>
      <c r="L715" s="29" t="n"/>
      <c r="M715" s="25" t="n"/>
      <c r="N715" s="30" t="n"/>
      <c r="O715" s="31">
        <f>IF(N715="","",IF(G715="Revenue",ROUND(N715*VATRate,2),0))</f>
        <v/>
      </c>
      <c r="P715" s="31">
        <f>IF(N715="","",N715+O715)</f>
        <v/>
      </c>
    </row>
    <row r="716">
      <c r="A716" s="26" t="n"/>
      <c r="B716" s="27">
        <f>IF(A716="","",IF(OR(A716&lt;MIN(Lists!$C$4:$C$15),A716&gt;MAX(Lists!$D$4:$D$15)),"No period",INDEX(Lists!$B$4:$B$15,MATCH(A716,Lists!$C$4:$C$15,1))))</f>
        <v/>
      </c>
      <c r="C716" s="28">
        <f>IF(B716="","",IFERROR(INDEX(Lists!$A$4:$A$15,MATCH(B716,Lists!$B$4:$B$15,0)),0))</f>
        <v/>
      </c>
      <c r="D716" s="25" t="n"/>
      <c r="E716" s="24" t="n"/>
      <c r="F716" s="27">
        <f>IF(E716="","",IFERROR(INDEX(Lists!$H$4:$H$40,MATCH(E716,Lists!$F$4:$F$40,0)),"UNMAPPED"))</f>
        <v/>
      </c>
      <c r="G716" s="25" t="n"/>
      <c r="H716" s="25" t="n"/>
      <c r="I716" s="25" t="n"/>
      <c r="J716" s="25" t="n"/>
      <c r="K716" s="25" t="n"/>
      <c r="L716" s="29" t="n"/>
      <c r="M716" s="25" t="n"/>
      <c r="N716" s="30" t="n"/>
      <c r="O716" s="31">
        <f>IF(N716="","",IF(G716="Revenue",ROUND(N716*VATRate,2),0))</f>
        <v/>
      </c>
      <c r="P716" s="31">
        <f>IF(N716="","",N716+O716)</f>
        <v/>
      </c>
    </row>
    <row r="717">
      <c r="A717" s="26" t="n"/>
      <c r="B717" s="27">
        <f>IF(A717="","",IF(OR(A717&lt;MIN(Lists!$C$4:$C$15),A717&gt;MAX(Lists!$D$4:$D$15)),"No period",INDEX(Lists!$B$4:$B$15,MATCH(A717,Lists!$C$4:$C$15,1))))</f>
        <v/>
      </c>
      <c r="C717" s="28">
        <f>IF(B717="","",IFERROR(INDEX(Lists!$A$4:$A$15,MATCH(B717,Lists!$B$4:$B$15,0)),0))</f>
        <v/>
      </c>
      <c r="D717" s="25" t="n"/>
      <c r="E717" s="24" t="n"/>
      <c r="F717" s="27">
        <f>IF(E717="","",IFERROR(INDEX(Lists!$H$4:$H$40,MATCH(E717,Lists!$F$4:$F$40,0)),"UNMAPPED"))</f>
        <v/>
      </c>
      <c r="G717" s="25" t="n"/>
      <c r="H717" s="25" t="n"/>
      <c r="I717" s="25" t="n"/>
      <c r="J717" s="25" t="n"/>
      <c r="K717" s="25" t="n"/>
      <c r="L717" s="29" t="n"/>
      <c r="M717" s="25" t="n"/>
      <c r="N717" s="30" t="n"/>
      <c r="O717" s="31">
        <f>IF(N717="","",IF(G717="Revenue",ROUND(N717*VATRate,2),0))</f>
        <v/>
      </c>
      <c r="P717" s="31">
        <f>IF(N717="","",N717+O717)</f>
        <v/>
      </c>
    </row>
    <row r="718">
      <c r="A718" s="26" t="n"/>
      <c r="B718" s="27">
        <f>IF(A718="","",IF(OR(A718&lt;MIN(Lists!$C$4:$C$15),A718&gt;MAX(Lists!$D$4:$D$15)),"No period",INDEX(Lists!$B$4:$B$15,MATCH(A718,Lists!$C$4:$C$15,1))))</f>
        <v/>
      </c>
      <c r="C718" s="28">
        <f>IF(B718="","",IFERROR(INDEX(Lists!$A$4:$A$15,MATCH(B718,Lists!$B$4:$B$15,0)),0))</f>
        <v/>
      </c>
      <c r="D718" s="25" t="n"/>
      <c r="E718" s="24" t="n"/>
      <c r="F718" s="27">
        <f>IF(E718="","",IFERROR(INDEX(Lists!$H$4:$H$40,MATCH(E718,Lists!$F$4:$F$40,0)),"UNMAPPED"))</f>
        <v/>
      </c>
      <c r="G718" s="25" t="n"/>
      <c r="H718" s="25" t="n"/>
      <c r="I718" s="25" t="n"/>
      <c r="J718" s="25" t="n"/>
      <c r="K718" s="25" t="n"/>
      <c r="L718" s="29" t="n"/>
      <c r="M718" s="25" t="n"/>
      <c r="N718" s="30" t="n"/>
      <c r="O718" s="31">
        <f>IF(N718="","",IF(G718="Revenue",ROUND(N718*VATRate,2),0))</f>
        <v/>
      </c>
      <c r="P718" s="31">
        <f>IF(N718="","",N718+O718)</f>
        <v/>
      </c>
    </row>
    <row r="719">
      <c r="A719" s="26" t="n"/>
      <c r="B719" s="27">
        <f>IF(A719="","",IF(OR(A719&lt;MIN(Lists!$C$4:$C$15),A719&gt;MAX(Lists!$D$4:$D$15)),"No period",INDEX(Lists!$B$4:$B$15,MATCH(A719,Lists!$C$4:$C$15,1))))</f>
        <v/>
      </c>
      <c r="C719" s="28">
        <f>IF(B719="","",IFERROR(INDEX(Lists!$A$4:$A$15,MATCH(B719,Lists!$B$4:$B$15,0)),0))</f>
        <v/>
      </c>
      <c r="D719" s="25" t="n"/>
      <c r="E719" s="24" t="n"/>
      <c r="F719" s="27">
        <f>IF(E719="","",IFERROR(INDEX(Lists!$H$4:$H$40,MATCH(E719,Lists!$F$4:$F$40,0)),"UNMAPPED"))</f>
        <v/>
      </c>
      <c r="G719" s="25" t="n"/>
      <c r="H719" s="25" t="n"/>
      <c r="I719" s="25" t="n"/>
      <c r="J719" s="25" t="n"/>
      <c r="K719" s="25" t="n"/>
      <c r="L719" s="29" t="n"/>
      <c r="M719" s="25" t="n"/>
      <c r="N719" s="30" t="n"/>
      <c r="O719" s="31">
        <f>IF(N719="","",IF(G719="Revenue",ROUND(N719*VATRate,2),0))</f>
        <v/>
      </c>
      <c r="P719" s="31">
        <f>IF(N719="","",N719+O719)</f>
        <v/>
      </c>
    </row>
    <row r="720">
      <c r="A720" s="26" t="n"/>
      <c r="B720" s="27">
        <f>IF(A720="","",IF(OR(A720&lt;MIN(Lists!$C$4:$C$15),A720&gt;MAX(Lists!$D$4:$D$15)),"No period",INDEX(Lists!$B$4:$B$15,MATCH(A720,Lists!$C$4:$C$15,1))))</f>
        <v/>
      </c>
      <c r="C720" s="28">
        <f>IF(B720="","",IFERROR(INDEX(Lists!$A$4:$A$15,MATCH(B720,Lists!$B$4:$B$15,0)),0))</f>
        <v/>
      </c>
      <c r="D720" s="25" t="n"/>
      <c r="E720" s="24" t="n"/>
      <c r="F720" s="27">
        <f>IF(E720="","",IFERROR(INDEX(Lists!$H$4:$H$40,MATCH(E720,Lists!$F$4:$F$40,0)),"UNMAPPED"))</f>
        <v/>
      </c>
      <c r="G720" s="25" t="n"/>
      <c r="H720" s="25" t="n"/>
      <c r="I720" s="25" t="n"/>
      <c r="J720" s="25" t="n"/>
      <c r="K720" s="25" t="n"/>
      <c r="L720" s="29" t="n"/>
      <c r="M720" s="25" t="n"/>
      <c r="N720" s="30" t="n"/>
      <c r="O720" s="31">
        <f>IF(N720="","",IF(G720="Revenue",ROUND(N720*VATRate,2),0))</f>
        <v/>
      </c>
      <c r="P720" s="31">
        <f>IF(N720="","",N720+O720)</f>
        <v/>
      </c>
    </row>
    <row r="721">
      <c r="A721" s="26" t="n"/>
      <c r="B721" s="27">
        <f>IF(A721="","",IF(OR(A721&lt;MIN(Lists!$C$4:$C$15),A721&gt;MAX(Lists!$D$4:$D$15)),"No period",INDEX(Lists!$B$4:$B$15,MATCH(A721,Lists!$C$4:$C$15,1))))</f>
        <v/>
      </c>
      <c r="C721" s="28">
        <f>IF(B721="","",IFERROR(INDEX(Lists!$A$4:$A$15,MATCH(B721,Lists!$B$4:$B$15,0)),0))</f>
        <v/>
      </c>
      <c r="D721" s="25" t="n"/>
      <c r="E721" s="24" t="n"/>
      <c r="F721" s="27">
        <f>IF(E721="","",IFERROR(INDEX(Lists!$H$4:$H$40,MATCH(E721,Lists!$F$4:$F$40,0)),"UNMAPPED"))</f>
        <v/>
      </c>
      <c r="G721" s="25" t="n"/>
      <c r="H721" s="25" t="n"/>
      <c r="I721" s="25" t="n"/>
      <c r="J721" s="25" t="n"/>
      <c r="K721" s="25" t="n"/>
      <c r="L721" s="29" t="n"/>
      <c r="M721" s="25" t="n"/>
      <c r="N721" s="30" t="n"/>
      <c r="O721" s="31">
        <f>IF(N721="","",IF(G721="Revenue",ROUND(N721*VATRate,2),0))</f>
        <v/>
      </c>
      <c r="P721" s="31">
        <f>IF(N721="","",N721+O721)</f>
        <v/>
      </c>
    </row>
    <row r="722">
      <c r="A722" s="26" t="n"/>
      <c r="B722" s="27">
        <f>IF(A722="","",IF(OR(A722&lt;MIN(Lists!$C$4:$C$15),A722&gt;MAX(Lists!$D$4:$D$15)),"No period",INDEX(Lists!$B$4:$B$15,MATCH(A722,Lists!$C$4:$C$15,1))))</f>
        <v/>
      </c>
      <c r="C722" s="28">
        <f>IF(B722="","",IFERROR(INDEX(Lists!$A$4:$A$15,MATCH(B722,Lists!$B$4:$B$15,0)),0))</f>
        <v/>
      </c>
      <c r="D722" s="25" t="n"/>
      <c r="E722" s="24" t="n"/>
      <c r="F722" s="27">
        <f>IF(E722="","",IFERROR(INDEX(Lists!$H$4:$H$40,MATCH(E722,Lists!$F$4:$F$40,0)),"UNMAPPED"))</f>
        <v/>
      </c>
      <c r="G722" s="25" t="n"/>
      <c r="H722" s="25" t="n"/>
      <c r="I722" s="25" t="n"/>
      <c r="J722" s="25" t="n"/>
      <c r="K722" s="25" t="n"/>
      <c r="L722" s="29" t="n"/>
      <c r="M722" s="25" t="n"/>
      <c r="N722" s="30" t="n"/>
      <c r="O722" s="31">
        <f>IF(N722="","",IF(G722="Revenue",ROUND(N722*VATRate,2),0))</f>
        <v/>
      </c>
      <c r="P722" s="31">
        <f>IF(N722="","",N722+O722)</f>
        <v/>
      </c>
    </row>
    <row r="723">
      <c r="A723" s="26" t="n"/>
      <c r="B723" s="27">
        <f>IF(A723="","",IF(OR(A723&lt;MIN(Lists!$C$4:$C$15),A723&gt;MAX(Lists!$D$4:$D$15)),"No period",INDEX(Lists!$B$4:$B$15,MATCH(A723,Lists!$C$4:$C$15,1))))</f>
        <v/>
      </c>
      <c r="C723" s="28">
        <f>IF(B723="","",IFERROR(INDEX(Lists!$A$4:$A$15,MATCH(B723,Lists!$B$4:$B$15,0)),0))</f>
        <v/>
      </c>
      <c r="D723" s="25" t="n"/>
      <c r="E723" s="24" t="n"/>
      <c r="F723" s="27">
        <f>IF(E723="","",IFERROR(INDEX(Lists!$H$4:$H$40,MATCH(E723,Lists!$F$4:$F$40,0)),"UNMAPPED"))</f>
        <v/>
      </c>
      <c r="G723" s="25" t="n"/>
      <c r="H723" s="25" t="n"/>
      <c r="I723" s="25" t="n"/>
      <c r="J723" s="25" t="n"/>
      <c r="K723" s="25" t="n"/>
      <c r="L723" s="29" t="n"/>
      <c r="M723" s="25" t="n"/>
      <c r="N723" s="30" t="n"/>
      <c r="O723" s="31">
        <f>IF(N723="","",IF(G723="Revenue",ROUND(N723*VATRate,2),0))</f>
        <v/>
      </c>
      <c r="P723" s="31">
        <f>IF(N723="","",N723+O723)</f>
        <v/>
      </c>
    </row>
    <row r="724">
      <c r="A724" s="26" t="n"/>
      <c r="B724" s="27">
        <f>IF(A724="","",IF(OR(A724&lt;MIN(Lists!$C$4:$C$15),A724&gt;MAX(Lists!$D$4:$D$15)),"No period",INDEX(Lists!$B$4:$B$15,MATCH(A724,Lists!$C$4:$C$15,1))))</f>
        <v/>
      </c>
      <c r="C724" s="28">
        <f>IF(B724="","",IFERROR(INDEX(Lists!$A$4:$A$15,MATCH(B724,Lists!$B$4:$B$15,0)),0))</f>
        <v/>
      </c>
      <c r="D724" s="25" t="n"/>
      <c r="E724" s="24" t="n"/>
      <c r="F724" s="27">
        <f>IF(E724="","",IFERROR(INDEX(Lists!$H$4:$H$40,MATCH(E724,Lists!$F$4:$F$40,0)),"UNMAPPED"))</f>
        <v/>
      </c>
      <c r="G724" s="25" t="n"/>
      <c r="H724" s="25" t="n"/>
      <c r="I724" s="25" t="n"/>
      <c r="J724" s="25" t="n"/>
      <c r="K724" s="25" t="n"/>
      <c r="L724" s="29" t="n"/>
      <c r="M724" s="25" t="n"/>
      <c r="N724" s="30" t="n"/>
      <c r="O724" s="31">
        <f>IF(N724="","",IF(G724="Revenue",ROUND(N724*VATRate,2),0))</f>
        <v/>
      </c>
      <c r="P724" s="31">
        <f>IF(N724="","",N724+O724)</f>
        <v/>
      </c>
    </row>
    <row r="725">
      <c r="A725" s="26" t="n"/>
      <c r="B725" s="27">
        <f>IF(A725="","",IF(OR(A725&lt;MIN(Lists!$C$4:$C$15),A725&gt;MAX(Lists!$D$4:$D$15)),"No period",INDEX(Lists!$B$4:$B$15,MATCH(A725,Lists!$C$4:$C$15,1))))</f>
        <v/>
      </c>
      <c r="C725" s="28">
        <f>IF(B725="","",IFERROR(INDEX(Lists!$A$4:$A$15,MATCH(B725,Lists!$B$4:$B$15,0)),0))</f>
        <v/>
      </c>
      <c r="D725" s="25" t="n"/>
      <c r="E725" s="24" t="n"/>
      <c r="F725" s="27">
        <f>IF(E725="","",IFERROR(INDEX(Lists!$H$4:$H$40,MATCH(E725,Lists!$F$4:$F$40,0)),"UNMAPPED"))</f>
        <v/>
      </c>
      <c r="G725" s="25" t="n"/>
      <c r="H725" s="25" t="n"/>
      <c r="I725" s="25" t="n"/>
      <c r="J725" s="25" t="n"/>
      <c r="K725" s="25" t="n"/>
      <c r="L725" s="29" t="n"/>
      <c r="M725" s="25" t="n"/>
      <c r="N725" s="30" t="n"/>
      <c r="O725" s="31">
        <f>IF(N725="","",IF(G725="Revenue",ROUND(N725*VATRate,2),0))</f>
        <v/>
      </c>
      <c r="P725" s="31">
        <f>IF(N725="","",N725+O725)</f>
        <v/>
      </c>
    </row>
    <row r="726">
      <c r="A726" s="26" t="n"/>
      <c r="B726" s="27">
        <f>IF(A726="","",IF(OR(A726&lt;MIN(Lists!$C$4:$C$15),A726&gt;MAX(Lists!$D$4:$D$15)),"No period",INDEX(Lists!$B$4:$B$15,MATCH(A726,Lists!$C$4:$C$15,1))))</f>
        <v/>
      </c>
      <c r="C726" s="28">
        <f>IF(B726="","",IFERROR(INDEX(Lists!$A$4:$A$15,MATCH(B726,Lists!$B$4:$B$15,0)),0))</f>
        <v/>
      </c>
      <c r="D726" s="25" t="n"/>
      <c r="E726" s="24" t="n"/>
      <c r="F726" s="27">
        <f>IF(E726="","",IFERROR(INDEX(Lists!$H$4:$H$40,MATCH(E726,Lists!$F$4:$F$40,0)),"UNMAPPED"))</f>
        <v/>
      </c>
      <c r="G726" s="25" t="n"/>
      <c r="H726" s="25" t="n"/>
      <c r="I726" s="25" t="n"/>
      <c r="J726" s="25" t="n"/>
      <c r="K726" s="25" t="n"/>
      <c r="L726" s="29" t="n"/>
      <c r="M726" s="25" t="n"/>
      <c r="N726" s="30" t="n"/>
      <c r="O726" s="31">
        <f>IF(N726="","",IF(G726="Revenue",ROUND(N726*VATRate,2),0))</f>
        <v/>
      </c>
      <c r="P726" s="31">
        <f>IF(N726="","",N726+O726)</f>
        <v/>
      </c>
    </row>
    <row r="727">
      <c r="A727" s="26" t="n"/>
      <c r="B727" s="27">
        <f>IF(A727="","",IF(OR(A727&lt;MIN(Lists!$C$4:$C$15),A727&gt;MAX(Lists!$D$4:$D$15)),"No period",INDEX(Lists!$B$4:$B$15,MATCH(A727,Lists!$C$4:$C$15,1))))</f>
        <v/>
      </c>
      <c r="C727" s="28">
        <f>IF(B727="","",IFERROR(INDEX(Lists!$A$4:$A$15,MATCH(B727,Lists!$B$4:$B$15,0)),0))</f>
        <v/>
      </c>
      <c r="D727" s="25" t="n"/>
      <c r="E727" s="24" t="n"/>
      <c r="F727" s="27">
        <f>IF(E727="","",IFERROR(INDEX(Lists!$H$4:$H$40,MATCH(E727,Lists!$F$4:$F$40,0)),"UNMAPPED"))</f>
        <v/>
      </c>
      <c r="G727" s="25" t="n"/>
      <c r="H727" s="25" t="n"/>
      <c r="I727" s="25" t="n"/>
      <c r="J727" s="25" t="n"/>
      <c r="K727" s="25" t="n"/>
      <c r="L727" s="29" t="n"/>
      <c r="M727" s="25" t="n"/>
      <c r="N727" s="30" t="n"/>
      <c r="O727" s="31">
        <f>IF(N727="","",IF(G727="Revenue",ROUND(N727*VATRate,2),0))</f>
        <v/>
      </c>
      <c r="P727" s="31">
        <f>IF(N727="","",N727+O727)</f>
        <v/>
      </c>
    </row>
    <row r="728">
      <c r="A728" s="26" t="n"/>
      <c r="B728" s="27">
        <f>IF(A728="","",IF(OR(A728&lt;MIN(Lists!$C$4:$C$15),A728&gt;MAX(Lists!$D$4:$D$15)),"No period",INDEX(Lists!$B$4:$B$15,MATCH(A728,Lists!$C$4:$C$15,1))))</f>
        <v/>
      </c>
      <c r="C728" s="28">
        <f>IF(B728="","",IFERROR(INDEX(Lists!$A$4:$A$15,MATCH(B728,Lists!$B$4:$B$15,0)),0))</f>
        <v/>
      </c>
      <c r="D728" s="25" t="n"/>
      <c r="E728" s="24" t="n"/>
      <c r="F728" s="27">
        <f>IF(E728="","",IFERROR(INDEX(Lists!$H$4:$H$40,MATCH(E728,Lists!$F$4:$F$40,0)),"UNMAPPED"))</f>
        <v/>
      </c>
      <c r="G728" s="25" t="n"/>
      <c r="H728" s="25" t="n"/>
      <c r="I728" s="25" t="n"/>
      <c r="J728" s="25" t="n"/>
      <c r="K728" s="25" t="n"/>
      <c r="L728" s="29" t="n"/>
      <c r="M728" s="25" t="n"/>
      <c r="N728" s="30" t="n"/>
      <c r="O728" s="31">
        <f>IF(N728="","",IF(G728="Revenue",ROUND(N728*VATRate,2),0))</f>
        <v/>
      </c>
      <c r="P728" s="31">
        <f>IF(N728="","",N728+O728)</f>
        <v/>
      </c>
    </row>
    <row r="729">
      <c r="A729" s="26" t="n"/>
      <c r="B729" s="27">
        <f>IF(A729="","",IF(OR(A729&lt;MIN(Lists!$C$4:$C$15),A729&gt;MAX(Lists!$D$4:$D$15)),"No period",INDEX(Lists!$B$4:$B$15,MATCH(A729,Lists!$C$4:$C$15,1))))</f>
        <v/>
      </c>
      <c r="C729" s="28">
        <f>IF(B729="","",IFERROR(INDEX(Lists!$A$4:$A$15,MATCH(B729,Lists!$B$4:$B$15,0)),0))</f>
        <v/>
      </c>
      <c r="D729" s="25" t="n"/>
      <c r="E729" s="24" t="n"/>
      <c r="F729" s="27">
        <f>IF(E729="","",IFERROR(INDEX(Lists!$H$4:$H$40,MATCH(E729,Lists!$F$4:$F$40,0)),"UNMAPPED"))</f>
        <v/>
      </c>
      <c r="G729" s="25" t="n"/>
      <c r="H729" s="25" t="n"/>
      <c r="I729" s="25" t="n"/>
      <c r="J729" s="25" t="n"/>
      <c r="K729" s="25" t="n"/>
      <c r="L729" s="29" t="n"/>
      <c r="M729" s="25" t="n"/>
      <c r="N729" s="30" t="n"/>
      <c r="O729" s="31">
        <f>IF(N729="","",IF(G729="Revenue",ROUND(N729*VATRate,2),0))</f>
        <v/>
      </c>
      <c r="P729" s="31">
        <f>IF(N729="","",N729+O729)</f>
        <v/>
      </c>
    </row>
    <row r="730">
      <c r="A730" s="26" t="n"/>
      <c r="B730" s="27">
        <f>IF(A730="","",IF(OR(A730&lt;MIN(Lists!$C$4:$C$15),A730&gt;MAX(Lists!$D$4:$D$15)),"No period",INDEX(Lists!$B$4:$B$15,MATCH(A730,Lists!$C$4:$C$15,1))))</f>
        <v/>
      </c>
      <c r="C730" s="28">
        <f>IF(B730="","",IFERROR(INDEX(Lists!$A$4:$A$15,MATCH(B730,Lists!$B$4:$B$15,0)),0))</f>
        <v/>
      </c>
      <c r="D730" s="25" t="n"/>
      <c r="E730" s="24" t="n"/>
      <c r="F730" s="27">
        <f>IF(E730="","",IFERROR(INDEX(Lists!$H$4:$H$40,MATCH(E730,Lists!$F$4:$F$40,0)),"UNMAPPED"))</f>
        <v/>
      </c>
      <c r="G730" s="25" t="n"/>
      <c r="H730" s="25" t="n"/>
      <c r="I730" s="25" t="n"/>
      <c r="J730" s="25" t="n"/>
      <c r="K730" s="25" t="n"/>
      <c r="L730" s="29" t="n"/>
      <c r="M730" s="25" t="n"/>
      <c r="N730" s="30" t="n"/>
      <c r="O730" s="31">
        <f>IF(N730="","",IF(G730="Revenue",ROUND(N730*VATRate,2),0))</f>
        <v/>
      </c>
      <c r="P730" s="31">
        <f>IF(N730="","",N730+O730)</f>
        <v/>
      </c>
    </row>
    <row r="731">
      <c r="A731" s="26" t="n"/>
      <c r="B731" s="27">
        <f>IF(A731="","",IF(OR(A731&lt;MIN(Lists!$C$4:$C$15),A731&gt;MAX(Lists!$D$4:$D$15)),"No period",INDEX(Lists!$B$4:$B$15,MATCH(A731,Lists!$C$4:$C$15,1))))</f>
        <v/>
      </c>
      <c r="C731" s="28">
        <f>IF(B731="","",IFERROR(INDEX(Lists!$A$4:$A$15,MATCH(B731,Lists!$B$4:$B$15,0)),0))</f>
        <v/>
      </c>
      <c r="D731" s="25" t="n"/>
      <c r="E731" s="24" t="n"/>
      <c r="F731" s="27">
        <f>IF(E731="","",IFERROR(INDEX(Lists!$H$4:$H$40,MATCH(E731,Lists!$F$4:$F$40,0)),"UNMAPPED"))</f>
        <v/>
      </c>
      <c r="G731" s="25" t="n"/>
      <c r="H731" s="25" t="n"/>
      <c r="I731" s="25" t="n"/>
      <c r="J731" s="25" t="n"/>
      <c r="K731" s="25" t="n"/>
      <c r="L731" s="29" t="n"/>
      <c r="M731" s="25" t="n"/>
      <c r="N731" s="30" t="n"/>
      <c r="O731" s="31">
        <f>IF(N731="","",IF(G731="Revenue",ROUND(N731*VATRate,2),0))</f>
        <v/>
      </c>
      <c r="P731" s="31">
        <f>IF(N731="","",N731+O731)</f>
        <v/>
      </c>
    </row>
    <row r="732">
      <c r="A732" s="26" t="n"/>
      <c r="B732" s="27">
        <f>IF(A732="","",IF(OR(A732&lt;MIN(Lists!$C$4:$C$15),A732&gt;MAX(Lists!$D$4:$D$15)),"No period",INDEX(Lists!$B$4:$B$15,MATCH(A732,Lists!$C$4:$C$15,1))))</f>
        <v/>
      </c>
      <c r="C732" s="28">
        <f>IF(B732="","",IFERROR(INDEX(Lists!$A$4:$A$15,MATCH(B732,Lists!$B$4:$B$15,0)),0))</f>
        <v/>
      </c>
      <c r="D732" s="25" t="n"/>
      <c r="E732" s="24" t="n"/>
      <c r="F732" s="27">
        <f>IF(E732="","",IFERROR(INDEX(Lists!$H$4:$H$40,MATCH(E732,Lists!$F$4:$F$40,0)),"UNMAPPED"))</f>
        <v/>
      </c>
      <c r="G732" s="25" t="n"/>
      <c r="H732" s="25" t="n"/>
      <c r="I732" s="25" t="n"/>
      <c r="J732" s="25" t="n"/>
      <c r="K732" s="25" t="n"/>
      <c r="L732" s="29" t="n"/>
      <c r="M732" s="25" t="n"/>
      <c r="N732" s="30" t="n"/>
      <c r="O732" s="31">
        <f>IF(N732="","",IF(G732="Revenue",ROUND(N732*VATRate,2),0))</f>
        <v/>
      </c>
      <c r="P732" s="31">
        <f>IF(N732="","",N732+O732)</f>
        <v/>
      </c>
    </row>
    <row r="733">
      <c r="A733" s="26" t="n"/>
      <c r="B733" s="27">
        <f>IF(A733="","",IF(OR(A733&lt;MIN(Lists!$C$4:$C$15),A733&gt;MAX(Lists!$D$4:$D$15)),"No period",INDEX(Lists!$B$4:$B$15,MATCH(A733,Lists!$C$4:$C$15,1))))</f>
        <v/>
      </c>
      <c r="C733" s="28">
        <f>IF(B733="","",IFERROR(INDEX(Lists!$A$4:$A$15,MATCH(B733,Lists!$B$4:$B$15,0)),0))</f>
        <v/>
      </c>
      <c r="D733" s="25" t="n"/>
      <c r="E733" s="24" t="n"/>
      <c r="F733" s="27">
        <f>IF(E733="","",IFERROR(INDEX(Lists!$H$4:$H$40,MATCH(E733,Lists!$F$4:$F$40,0)),"UNMAPPED"))</f>
        <v/>
      </c>
      <c r="G733" s="25" t="n"/>
      <c r="H733" s="25" t="n"/>
      <c r="I733" s="25" t="n"/>
      <c r="J733" s="25" t="n"/>
      <c r="K733" s="25" t="n"/>
      <c r="L733" s="29" t="n"/>
      <c r="M733" s="25" t="n"/>
      <c r="N733" s="30" t="n"/>
      <c r="O733" s="31">
        <f>IF(N733="","",IF(G733="Revenue",ROUND(N733*VATRate,2),0))</f>
        <v/>
      </c>
      <c r="P733" s="31">
        <f>IF(N733="","",N733+O733)</f>
        <v/>
      </c>
    </row>
    <row r="734">
      <c r="A734" s="26" t="n"/>
      <c r="B734" s="27">
        <f>IF(A734="","",IF(OR(A734&lt;MIN(Lists!$C$4:$C$15),A734&gt;MAX(Lists!$D$4:$D$15)),"No period",INDEX(Lists!$B$4:$B$15,MATCH(A734,Lists!$C$4:$C$15,1))))</f>
        <v/>
      </c>
      <c r="C734" s="28">
        <f>IF(B734="","",IFERROR(INDEX(Lists!$A$4:$A$15,MATCH(B734,Lists!$B$4:$B$15,0)),0))</f>
        <v/>
      </c>
      <c r="D734" s="25" t="n"/>
      <c r="E734" s="24" t="n"/>
      <c r="F734" s="27">
        <f>IF(E734="","",IFERROR(INDEX(Lists!$H$4:$H$40,MATCH(E734,Lists!$F$4:$F$40,0)),"UNMAPPED"))</f>
        <v/>
      </c>
      <c r="G734" s="25" t="n"/>
      <c r="H734" s="25" t="n"/>
      <c r="I734" s="25" t="n"/>
      <c r="J734" s="25" t="n"/>
      <c r="K734" s="25" t="n"/>
      <c r="L734" s="29" t="n"/>
      <c r="M734" s="25" t="n"/>
      <c r="N734" s="30" t="n"/>
      <c r="O734" s="31">
        <f>IF(N734="","",IF(G734="Revenue",ROUND(N734*VATRate,2),0))</f>
        <v/>
      </c>
      <c r="P734" s="31">
        <f>IF(N734="","",N734+O734)</f>
        <v/>
      </c>
    </row>
    <row r="735">
      <c r="A735" s="26" t="n"/>
      <c r="B735" s="27">
        <f>IF(A735="","",IF(OR(A735&lt;MIN(Lists!$C$4:$C$15),A735&gt;MAX(Lists!$D$4:$D$15)),"No period",INDEX(Lists!$B$4:$B$15,MATCH(A735,Lists!$C$4:$C$15,1))))</f>
        <v/>
      </c>
      <c r="C735" s="28">
        <f>IF(B735="","",IFERROR(INDEX(Lists!$A$4:$A$15,MATCH(B735,Lists!$B$4:$B$15,0)),0))</f>
        <v/>
      </c>
      <c r="D735" s="25" t="n"/>
      <c r="E735" s="24" t="n"/>
      <c r="F735" s="27">
        <f>IF(E735="","",IFERROR(INDEX(Lists!$H$4:$H$40,MATCH(E735,Lists!$F$4:$F$40,0)),"UNMAPPED"))</f>
        <v/>
      </c>
      <c r="G735" s="25" t="n"/>
      <c r="H735" s="25" t="n"/>
      <c r="I735" s="25" t="n"/>
      <c r="J735" s="25" t="n"/>
      <c r="K735" s="25" t="n"/>
      <c r="L735" s="29" t="n"/>
      <c r="M735" s="25" t="n"/>
      <c r="N735" s="30" t="n"/>
      <c r="O735" s="31">
        <f>IF(N735="","",IF(G735="Revenue",ROUND(N735*VATRate,2),0))</f>
        <v/>
      </c>
      <c r="P735" s="31">
        <f>IF(N735="","",N735+O735)</f>
        <v/>
      </c>
    </row>
    <row r="736">
      <c r="A736" s="26" t="n"/>
      <c r="B736" s="27">
        <f>IF(A736="","",IF(OR(A736&lt;MIN(Lists!$C$4:$C$15),A736&gt;MAX(Lists!$D$4:$D$15)),"No period",INDEX(Lists!$B$4:$B$15,MATCH(A736,Lists!$C$4:$C$15,1))))</f>
        <v/>
      </c>
      <c r="C736" s="28">
        <f>IF(B736="","",IFERROR(INDEX(Lists!$A$4:$A$15,MATCH(B736,Lists!$B$4:$B$15,0)),0))</f>
        <v/>
      </c>
      <c r="D736" s="25" t="n"/>
      <c r="E736" s="24" t="n"/>
      <c r="F736" s="27">
        <f>IF(E736="","",IFERROR(INDEX(Lists!$H$4:$H$40,MATCH(E736,Lists!$F$4:$F$40,0)),"UNMAPPED"))</f>
        <v/>
      </c>
      <c r="G736" s="25" t="n"/>
      <c r="H736" s="25" t="n"/>
      <c r="I736" s="25" t="n"/>
      <c r="J736" s="25" t="n"/>
      <c r="K736" s="25" t="n"/>
      <c r="L736" s="29" t="n"/>
      <c r="M736" s="25" t="n"/>
      <c r="N736" s="30" t="n"/>
      <c r="O736" s="31">
        <f>IF(N736="","",IF(G736="Revenue",ROUND(N736*VATRate,2),0))</f>
        <v/>
      </c>
      <c r="P736" s="31">
        <f>IF(N736="","",N736+O736)</f>
        <v/>
      </c>
    </row>
    <row r="737">
      <c r="A737" s="26" t="n"/>
      <c r="B737" s="27">
        <f>IF(A737="","",IF(OR(A737&lt;MIN(Lists!$C$4:$C$15),A737&gt;MAX(Lists!$D$4:$D$15)),"No period",INDEX(Lists!$B$4:$B$15,MATCH(A737,Lists!$C$4:$C$15,1))))</f>
        <v/>
      </c>
      <c r="C737" s="28">
        <f>IF(B737="","",IFERROR(INDEX(Lists!$A$4:$A$15,MATCH(B737,Lists!$B$4:$B$15,0)),0))</f>
        <v/>
      </c>
      <c r="D737" s="25" t="n"/>
      <c r="E737" s="24" t="n"/>
      <c r="F737" s="27">
        <f>IF(E737="","",IFERROR(INDEX(Lists!$H$4:$H$40,MATCH(E737,Lists!$F$4:$F$40,0)),"UNMAPPED"))</f>
        <v/>
      </c>
      <c r="G737" s="25" t="n"/>
      <c r="H737" s="25" t="n"/>
      <c r="I737" s="25" t="n"/>
      <c r="J737" s="25" t="n"/>
      <c r="K737" s="25" t="n"/>
      <c r="L737" s="29" t="n"/>
      <c r="M737" s="25" t="n"/>
      <c r="N737" s="30" t="n"/>
      <c r="O737" s="31">
        <f>IF(N737="","",IF(G737="Revenue",ROUND(N737*VATRate,2),0))</f>
        <v/>
      </c>
      <c r="P737" s="31">
        <f>IF(N737="","",N737+O737)</f>
        <v/>
      </c>
    </row>
    <row r="738">
      <c r="A738" s="26" t="n"/>
      <c r="B738" s="27">
        <f>IF(A738="","",IF(OR(A738&lt;MIN(Lists!$C$4:$C$15),A738&gt;MAX(Lists!$D$4:$D$15)),"No period",INDEX(Lists!$B$4:$B$15,MATCH(A738,Lists!$C$4:$C$15,1))))</f>
        <v/>
      </c>
      <c r="C738" s="28">
        <f>IF(B738="","",IFERROR(INDEX(Lists!$A$4:$A$15,MATCH(B738,Lists!$B$4:$B$15,0)),0))</f>
        <v/>
      </c>
      <c r="D738" s="25" t="n"/>
      <c r="E738" s="24" t="n"/>
      <c r="F738" s="27">
        <f>IF(E738="","",IFERROR(INDEX(Lists!$H$4:$H$40,MATCH(E738,Lists!$F$4:$F$40,0)),"UNMAPPED"))</f>
        <v/>
      </c>
      <c r="G738" s="25" t="n"/>
      <c r="H738" s="25" t="n"/>
      <c r="I738" s="25" t="n"/>
      <c r="J738" s="25" t="n"/>
      <c r="K738" s="25" t="n"/>
      <c r="L738" s="29" t="n"/>
      <c r="M738" s="25" t="n"/>
      <c r="N738" s="30" t="n"/>
      <c r="O738" s="31">
        <f>IF(N738="","",IF(G738="Revenue",ROUND(N738*VATRate,2),0))</f>
        <v/>
      </c>
      <c r="P738" s="31">
        <f>IF(N738="","",N738+O738)</f>
        <v/>
      </c>
    </row>
    <row r="739">
      <c r="A739" s="26" t="n"/>
      <c r="B739" s="27">
        <f>IF(A739="","",IF(OR(A739&lt;MIN(Lists!$C$4:$C$15),A739&gt;MAX(Lists!$D$4:$D$15)),"No period",INDEX(Lists!$B$4:$B$15,MATCH(A739,Lists!$C$4:$C$15,1))))</f>
        <v/>
      </c>
      <c r="C739" s="28">
        <f>IF(B739="","",IFERROR(INDEX(Lists!$A$4:$A$15,MATCH(B739,Lists!$B$4:$B$15,0)),0))</f>
        <v/>
      </c>
      <c r="D739" s="25" t="n"/>
      <c r="E739" s="24" t="n"/>
      <c r="F739" s="27">
        <f>IF(E739="","",IFERROR(INDEX(Lists!$H$4:$H$40,MATCH(E739,Lists!$F$4:$F$40,0)),"UNMAPPED"))</f>
        <v/>
      </c>
      <c r="G739" s="25" t="n"/>
      <c r="H739" s="25" t="n"/>
      <c r="I739" s="25" t="n"/>
      <c r="J739" s="25" t="n"/>
      <c r="K739" s="25" t="n"/>
      <c r="L739" s="29" t="n"/>
      <c r="M739" s="25" t="n"/>
      <c r="N739" s="30" t="n"/>
      <c r="O739" s="31">
        <f>IF(N739="","",IF(G739="Revenue",ROUND(N739*VATRate,2),0))</f>
        <v/>
      </c>
      <c r="P739" s="31">
        <f>IF(N739="","",N739+O739)</f>
        <v/>
      </c>
    </row>
    <row r="740">
      <c r="A740" s="26" t="n"/>
      <c r="B740" s="27">
        <f>IF(A740="","",IF(OR(A740&lt;MIN(Lists!$C$4:$C$15),A740&gt;MAX(Lists!$D$4:$D$15)),"No period",INDEX(Lists!$B$4:$B$15,MATCH(A740,Lists!$C$4:$C$15,1))))</f>
        <v/>
      </c>
      <c r="C740" s="28">
        <f>IF(B740="","",IFERROR(INDEX(Lists!$A$4:$A$15,MATCH(B740,Lists!$B$4:$B$15,0)),0))</f>
        <v/>
      </c>
      <c r="D740" s="25" t="n"/>
      <c r="E740" s="24" t="n"/>
      <c r="F740" s="27">
        <f>IF(E740="","",IFERROR(INDEX(Lists!$H$4:$H$40,MATCH(E740,Lists!$F$4:$F$40,0)),"UNMAPPED"))</f>
        <v/>
      </c>
      <c r="G740" s="25" t="n"/>
      <c r="H740" s="25" t="n"/>
      <c r="I740" s="25" t="n"/>
      <c r="J740" s="25" t="n"/>
      <c r="K740" s="25" t="n"/>
      <c r="L740" s="29" t="n"/>
      <c r="M740" s="25" t="n"/>
      <c r="N740" s="30" t="n"/>
      <c r="O740" s="31">
        <f>IF(N740="","",IF(G740="Revenue",ROUND(N740*VATRate,2),0))</f>
        <v/>
      </c>
      <c r="P740" s="31">
        <f>IF(N740="","",N740+O740)</f>
        <v/>
      </c>
    </row>
    <row r="741">
      <c r="A741" s="26" t="n"/>
      <c r="B741" s="27">
        <f>IF(A741="","",IF(OR(A741&lt;MIN(Lists!$C$4:$C$15),A741&gt;MAX(Lists!$D$4:$D$15)),"No period",INDEX(Lists!$B$4:$B$15,MATCH(A741,Lists!$C$4:$C$15,1))))</f>
        <v/>
      </c>
      <c r="C741" s="28">
        <f>IF(B741="","",IFERROR(INDEX(Lists!$A$4:$A$15,MATCH(B741,Lists!$B$4:$B$15,0)),0))</f>
        <v/>
      </c>
      <c r="D741" s="25" t="n"/>
      <c r="E741" s="24" t="n"/>
      <c r="F741" s="27">
        <f>IF(E741="","",IFERROR(INDEX(Lists!$H$4:$H$40,MATCH(E741,Lists!$F$4:$F$40,0)),"UNMAPPED"))</f>
        <v/>
      </c>
      <c r="G741" s="25" t="n"/>
      <c r="H741" s="25" t="n"/>
      <c r="I741" s="25" t="n"/>
      <c r="J741" s="25" t="n"/>
      <c r="K741" s="25" t="n"/>
      <c r="L741" s="29" t="n"/>
      <c r="M741" s="25" t="n"/>
      <c r="N741" s="30" t="n"/>
      <c r="O741" s="31">
        <f>IF(N741="","",IF(G741="Revenue",ROUND(N741*VATRate,2),0))</f>
        <v/>
      </c>
      <c r="P741" s="31">
        <f>IF(N741="","",N741+O741)</f>
        <v/>
      </c>
    </row>
    <row r="742">
      <c r="A742" s="26" t="n"/>
      <c r="B742" s="27">
        <f>IF(A742="","",IF(OR(A742&lt;MIN(Lists!$C$4:$C$15),A742&gt;MAX(Lists!$D$4:$D$15)),"No period",INDEX(Lists!$B$4:$B$15,MATCH(A742,Lists!$C$4:$C$15,1))))</f>
        <v/>
      </c>
      <c r="C742" s="28">
        <f>IF(B742="","",IFERROR(INDEX(Lists!$A$4:$A$15,MATCH(B742,Lists!$B$4:$B$15,0)),0))</f>
        <v/>
      </c>
      <c r="D742" s="25" t="n"/>
      <c r="E742" s="24" t="n"/>
      <c r="F742" s="27">
        <f>IF(E742="","",IFERROR(INDEX(Lists!$H$4:$H$40,MATCH(E742,Lists!$F$4:$F$40,0)),"UNMAPPED"))</f>
        <v/>
      </c>
      <c r="G742" s="25" t="n"/>
      <c r="H742" s="25" t="n"/>
      <c r="I742" s="25" t="n"/>
      <c r="J742" s="25" t="n"/>
      <c r="K742" s="25" t="n"/>
      <c r="L742" s="29" t="n"/>
      <c r="M742" s="25" t="n"/>
      <c r="N742" s="30" t="n"/>
      <c r="O742" s="31">
        <f>IF(N742="","",IF(G742="Revenue",ROUND(N742*VATRate,2),0))</f>
        <v/>
      </c>
      <c r="P742" s="31">
        <f>IF(N742="","",N742+O742)</f>
        <v/>
      </c>
    </row>
    <row r="743">
      <c r="A743" s="26" t="n"/>
      <c r="B743" s="27">
        <f>IF(A743="","",IF(OR(A743&lt;MIN(Lists!$C$4:$C$15),A743&gt;MAX(Lists!$D$4:$D$15)),"No period",INDEX(Lists!$B$4:$B$15,MATCH(A743,Lists!$C$4:$C$15,1))))</f>
        <v/>
      </c>
      <c r="C743" s="28">
        <f>IF(B743="","",IFERROR(INDEX(Lists!$A$4:$A$15,MATCH(B743,Lists!$B$4:$B$15,0)),0))</f>
        <v/>
      </c>
      <c r="D743" s="25" t="n"/>
      <c r="E743" s="24" t="n"/>
      <c r="F743" s="27">
        <f>IF(E743="","",IFERROR(INDEX(Lists!$H$4:$H$40,MATCH(E743,Lists!$F$4:$F$40,0)),"UNMAPPED"))</f>
        <v/>
      </c>
      <c r="G743" s="25" t="n"/>
      <c r="H743" s="25" t="n"/>
      <c r="I743" s="25" t="n"/>
      <c r="J743" s="25" t="n"/>
      <c r="K743" s="25" t="n"/>
      <c r="L743" s="29" t="n"/>
      <c r="M743" s="25" t="n"/>
      <c r="N743" s="30" t="n"/>
      <c r="O743" s="31">
        <f>IF(N743="","",IF(G743="Revenue",ROUND(N743*VATRate,2),0))</f>
        <v/>
      </c>
      <c r="P743" s="31">
        <f>IF(N743="","",N743+O743)</f>
        <v/>
      </c>
    </row>
    <row r="744">
      <c r="A744" s="26" t="n"/>
      <c r="B744" s="27">
        <f>IF(A744="","",IF(OR(A744&lt;MIN(Lists!$C$4:$C$15),A744&gt;MAX(Lists!$D$4:$D$15)),"No period",INDEX(Lists!$B$4:$B$15,MATCH(A744,Lists!$C$4:$C$15,1))))</f>
        <v/>
      </c>
      <c r="C744" s="28">
        <f>IF(B744="","",IFERROR(INDEX(Lists!$A$4:$A$15,MATCH(B744,Lists!$B$4:$B$15,0)),0))</f>
        <v/>
      </c>
      <c r="D744" s="25" t="n"/>
      <c r="E744" s="24" t="n"/>
      <c r="F744" s="27">
        <f>IF(E744="","",IFERROR(INDEX(Lists!$H$4:$H$40,MATCH(E744,Lists!$F$4:$F$40,0)),"UNMAPPED"))</f>
        <v/>
      </c>
      <c r="G744" s="25" t="n"/>
      <c r="H744" s="25" t="n"/>
      <c r="I744" s="25" t="n"/>
      <c r="J744" s="25" t="n"/>
      <c r="K744" s="25" t="n"/>
      <c r="L744" s="29" t="n"/>
      <c r="M744" s="25" t="n"/>
      <c r="N744" s="30" t="n"/>
      <c r="O744" s="31">
        <f>IF(N744="","",IF(G744="Revenue",ROUND(N744*VATRate,2),0))</f>
        <v/>
      </c>
      <c r="P744" s="31">
        <f>IF(N744="","",N744+O744)</f>
        <v/>
      </c>
    </row>
    <row r="745">
      <c r="A745" s="26" t="n"/>
      <c r="B745" s="27">
        <f>IF(A745="","",IF(OR(A745&lt;MIN(Lists!$C$4:$C$15),A745&gt;MAX(Lists!$D$4:$D$15)),"No period",INDEX(Lists!$B$4:$B$15,MATCH(A745,Lists!$C$4:$C$15,1))))</f>
        <v/>
      </c>
      <c r="C745" s="28">
        <f>IF(B745="","",IFERROR(INDEX(Lists!$A$4:$A$15,MATCH(B745,Lists!$B$4:$B$15,0)),0))</f>
        <v/>
      </c>
      <c r="D745" s="25" t="n"/>
      <c r="E745" s="24" t="n"/>
      <c r="F745" s="27">
        <f>IF(E745="","",IFERROR(INDEX(Lists!$H$4:$H$40,MATCH(E745,Lists!$F$4:$F$40,0)),"UNMAPPED"))</f>
        <v/>
      </c>
      <c r="G745" s="25" t="n"/>
      <c r="H745" s="25" t="n"/>
      <c r="I745" s="25" t="n"/>
      <c r="J745" s="25" t="n"/>
      <c r="K745" s="25" t="n"/>
      <c r="L745" s="29" t="n"/>
      <c r="M745" s="25" t="n"/>
      <c r="N745" s="30" t="n"/>
      <c r="O745" s="31">
        <f>IF(N745="","",IF(G745="Revenue",ROUND(N745*VATRate,2),0))</f>
        <v/>
      </c>
      <c r="P745" s="31">
        <f>IF(N745="","",N745+O745)</f>
        <v/>
      </c>
    </row>
    <row r="746">
      <c r="A746" s="26" t="n"/>
      <c r="B746" s="27">
        <f>IF(A746="","",IF(OR(A746&lt;MIN(Lists!$C$4:$C$15),A746&gt;MAX(Lists!$D$4:$D$15)),"No period",INDEX(Lists!$B$4:$B$15,MATCH(A746,Lists!$C$4:$C$15,1))))</f>
        <v/>
      </c>
      <c r="C746" s="28">
        <f>IF(B746="","",IFERROR(INDEX(Lists!$A$4:$A$15,MATCH(B746,Lists!$B$4:$B$15,0)),0))</f>
        <v/>
      </c>
      <c r="D746" s="25" t="n"/>
      <c r="E746" s="24" t="n"/>
      <c r="F746" s="27">
        <f>IF(E746="","",IFERROR(INDEX(Lists!$H$4:$H$40,MATCH(E746,Lists!$F$4:$F$40,0)),"UNMAPPED"))</f>
        <v/>
      </c>
      <c r="G746" s="25" t="n"/>
      <c r="H746" s="25" t="n"/>
      <c r="I746" s="25" t="n"/>
      <c r="J746" s="25" t="n"/>
      <c r="K746" s="25" t="n"/>
      <c r="L746" s="29" t="n"/>
      <c r="M746" s="25" t="n"/>
      <c r="N746" s="30" t="n"/>
      <c r="O746" s="31">
        <f>IF(N746="","",IF(G746="Revenue",ROUND(N746*VATRate,2),0))</f>
        <v/>
      </c>
      <c r="P746" s="31">
        <f>IF(N746="","",N746+O746)</f>
        <v/>
      </c>
    </row>
    <row r="747">
      <c r="A747" s="26" t="n"/>
      <c r="B747" s="27">
        <f>IF(A747="","",IF(OR(A747&lt;MIN(Lists!$C$4:$C$15),A747&gt;MAX(Lists!$D$4:$D$15)),"No period",INDEX(Lists!$B$4:$B$15,MATCH(A747,Lists!$C$4:$C$15,1))))</f>
        <v/>
      </c>
      <c r="C747" s="28">
        <f>IF(B747="","",IFERROR(INDEX(Lists!$A$4:$A$15,MATCH(B747,Lists!$B$4:$B$15,0)),0))</f>
        <v/>
      </c>
      <c r="D747" s="25" t="n"/>
      <c r="E747" s="24" t="n"/>
      <c r="F747" s="27">
        <f>IF(E747="","",IFERROR(INDEX(Lists!$H$4:$H$40,MATCH(E747,Lists!$F$4:$F$40,0)),"UNMAPPED"))</f>
        <v/>
      </c>
      <c r="G747" s="25" t="n"/>
      <c r="H747" s="25" t="n"/>
      <c r="I747" s="25" t="n"/>
      <c r="J747" s="25" t="n"/>
      <c r="K747" s="25" t="n"/>
      <c r="L747" s="29" t="n"/>
      <c r="M747" s="25" t="n"/>
      <c r="N747" s="30" t="n"/>
      <c r="O747" s="31">
        <f>IF(N747="","",IF(G747="Revenue",ROUND(N747*VATRate,2),0))</f>
        <v/>
      </c>
      <c r="P747" s="31">
        <f>IF(N747="","",N747+O747)</f>
        <v/>
      </c>
    </row>
    <row r="748">
      <c r="A748" s="26" t="n"/>
      <c r="B748" s="27">
        <f>IF(A748="","",IF(OR(A748&lt;MIN(Lists!$C$4:$C$15),A748&gt;MAX(Lists!$D$4:$D$15)),"No period",INDEX(Lists!$B$4:$B$15,MATCH(A748,Lists!$C$4:$C$15,1))))</f>
        <v/>
      </c>
      <c r="C748" s="28">
        <f>IF(B748="","",IFERROR(INDEX(Lists!$A$4:$A$15,MATCH(B748,Lists!$B$4:$B$15,0)),0))</f>
        <v/>
      </c>
      <c r="D748" s="25" t="n"/>
      <c r="E748" s="24" t="n"/>
      <c r="F748" s="27">
        <f>IF(E748="","",IFERROR(INDEX(Lists!$H$4:$H$40,MATCH(E748,Lists!$F$4:$F$40,0)),"UNMAPPED"))</f>
        <v/>
      </c>
      <c r="G748" s="25" t="n"/>
      <c r="H748" s="25" t="n"/>
      <c r="I748" s="25" t="n"/>
      <c r="J748" s="25" t="n"/>
      <c r="K748" s="25" t="n"/>
      <c r="L748" s="29" t="n"/>
      <c r="M748" s="25" t="n"/>
      <c r="N748" s="30" t="n"/>
      <c r="O748" s="31">
        <f>IF(N748="","",IF(G748="Revenue",ROUND(N748*VATRate,2),0))</f>
        <v/>
      </c>
      <c r="P748" s="31">
        <f>IF(N748="","",N748+O748)</f>
        <v/>
      </c>
    </row>
    <row r="749">
      <c r="A749" s="26" t="n"/>
      <c r="B749" s="27">
        <f>IF(A749="","",IF(OR(A749&lt;MIN(Lists!$C$4:$C$15),A749&gt;MAX(Lists!$D$4:$D$15)),"No period",INDEX(Lists!$B$4:$B$15,MATCH(A749,Lists!$C$4:$C$15,1))))</f>
        <v/>
      </c>
      <c r="C749" s="28">
        <f>IF(B749="","",IFERROR(INDEX(Lists!$A$4:$A$15,MATCH(B749,Lists!$B$4:$B$15,0)),0))</f>
        <v/>
      </c>
      <c r="D749" s="25" t="n"/>
      <c r="E749" s="24" t="n"/>
      <c r="F749" s="27">
        <f>IF(E749="","",IFERROR(INDEX(Lists!$H$4:$H$40,MATCH(E749,Lists!$F$4:$F$40,0)),"UNMAPPED"))</f>
        <v/>
      </c>
      <c r="G749" s="25" t="n"/>
      <c r="H749" s="25" t="n"/>
      <c r="I749" s="25" t="n"/>
      <c r="J749" s="25" t="n"/>
      <c r="K749" s="25" t="n"/>
      <c r="L749" s="29" t="n"/>
      <c r="M749" s="25" t="n"/>
      <c r="N749" s="30" t="n"/>
      <c r="O749" s="31">
        <f>IF(N749="","",IF(G749="Revenue",ROUND(N749*VATRate,2),0))</f>
        <v/>
      </c>
      <c r="P749" s="31">
        <f>IF(N749="","",N749+O749)</f>
        <v/>
      </c>
    </row>
    <row r="750">
      <c r="A750" s="26" t="n"/>
      <c r="B750" s="27">
        <f>IF(A750="","",IF(OR(A750&lt;MIN(Lists!$C$4:$C$15),A750&gt;MAX(Lists!$D$4:$D$15)),"No period",INDEX(Lists!$B$4:$B$15,MATCH(A750,Lists!$C$4:$C$15,1))))</f>
        <v/>
      </c>
      <c r="C750" s="28">
        <f>IF(B750="","",IFERROR(INDEX(Lists!$A$4:$A$15,MATCH(B750,Lists!$B$4:$B$15,0)),0))</f>
        <v/>
      </c>
      <c r="D750" s="25" t="n"/>
      <c r="E750" s="24" t="n"/>
      <c r="F750" s="27">
        <f>IF(E750="","",IFERROR(INDEX(Lists!$H$4:$H$40,MATCH(E750,Lists!$F$4:$F$40,0)),"UNMAPPED"))</f>
        <v/>
      </c>
      <c r="G750" s="25" t="n"/>
      <c r="H750" s="25" t="n"/>
      <c r="I750" s="25" t="n"/>
      <c r="J750" s="25" t="n"/>
      <c r="K750" s="25" t="n"/>
      <c r="L750" s="29" t="n"/>
      <c r="M750" s="25" t="n"/>
      <c r="N750" s="30" t="n"/>
      <c r="O750" s="31">
        <f>IF(N750="","",IF(G750="Revenue",ROUND(N750*VATRate,2),0))</f>
        <v/>
      </c>
      <c r="P750" s="31">
        <f>IF(N750="","",N750+O750)</f>
        <v/>
      </c>
    </row>
    <row r="751">
      <c r="A751" s="26" t="n"/>
      <c r="B751" s="27">
        <f>IF(A751="","",IF(OR(A751&lt;MIN(Lists!$C$4:$C$15),A751&gt;MAX(Lists!$D$4:$D$15)),"No period",INDEX(Lists!$B$4:$B$15,MATCH(A751,Lists!$C$4:$C$15,1))))</f>
        <v/>
      </c>
      <c r="C751" s="28">
        <f>IF(B751="","",IFERROR(INDEX(Lists!$A$4:$A$15,MATCH(B751,Lists!$B$4:$B$15,0)),0))</f>
        <v/>
      </c>
      <c r="D751" s="25" t="n"/>
      <c r="E751" s="24" t="n"/>
      <c r="F751" s="27">
        <f>IF(E751="","",IFERROR(INDEX(Lists!$H$4:$H$40,MATCH(E751,Lists!$F$4:$F$40,0)),"UNMAPPED"))</f>
        <v/>
      </c>
      <c r="G751" s="25" t="n"/>
      <c r="H751" s="25" t="n"/>
      <c r="I751" s="25" t="n"/>
      <c r="J751" s="25" t="n"/>
      <c r="K751" s="25" t="n"/>
      <c r="L751" s="29" t="n"/>
      <c r="M751" s="25" t="n"/>
      <c r="N751" s="30" t="n"/>
      <c r="O751" s="31">
        <f>IF(N751="","",IF(G751="Revenue",ROUND(N751*VATRate,2),0))</f>
        <v/>
      </c>
      <c r="P751" s="31">
        <f>IF(N751="","",N751+O751)</f>
        <v/>
      </c>
    </row>
    <row r="752">
      <c r="A752" s="26" t="n"/>
      <c r="B752" s="27">
        <f>IF(A752="","",IF(OR(A752&lt;MIN(Lists!$C$4:$C$15),A752&gt;MAX(Lists!$D$4:$D$15)),"No period",INDEX(Lists!$B$4:$B$15,MATCH(A752,Lists!$C$4:$C$15,1))))</f>
        <v/>
      </c>
      <c r="C752" s="28">
        <f>IF(B752="","",IFERROR(INDEX(Lists!$A$4:$A$15,MATCH(B752,Lists!$B$4:$B$15,0)),0))</f>
        <v/>
      </c>
      <c r="D752" s="25" t="n"/>
      <c r="E752" s="24" t="n"/>
      <c r="F752" s="27">
        <f>IF(E752="","",IFERROR(INDEX(Lists!$H$4:$H$40,MATCH(E752,Lists!$F$4:$F$40,0)),"UNMAPPED"))</f>
        <v/>
      </c>
      <c r="G752" s="25" t="n"/>
      <c r="H752" s="25" t="n"/>
      <c r="I752" s="25" t="n"/>
      <c r="J752" s="25" t="n"/>
      <c r="K752" s="25" t="n"/>
      <c r="L752" s="29" t="n"/>
      <c r="M752" s="25" t="n"/>
      <c r="N752" s="30" t="n"/>
      <c r="O752" s="31">
        <f>IF(N752="","",IF(G752="Revenue",ROUND(N752*VATRate,2),0))</f>
        <v/>
      </c>
      <c r="P752" s="31">
        <f>IF(N752="","",N752+O752)</f>
        <v/>
      </c>
    </row>
    <row r="753">
      <c r="A753" s="26" t="n"/>
      <c r="B753" s="27">
        <f>IF(A753="","",IF(OR(A753&lt;MIN(Lists!$C$4:$C$15),A753&gt;MAX(Lists!$D$4:$D$15)),"No period",INDEX(Lists!$B$4:$B$15,MATCH(A753,Lists!$C$4:$C$15,1))))</f>
        <v/>
      </c>
      <c r="C753" s="28">
        <f>IF(B753="","",IFERROR(INDEX(Lists!$A$4:$A$15,MATCH(B753,Lists!$B$4:$B$15,0)),0))</f>
        <v/>
      </c>
      <c r="D753" s="25" t="n"/>
      <c r="E753" s="24" t="n"/>
      <c r="F753" s="27">
        <f>IF(E753="","",IFERROR(INDEX(Lists!$H$4:$H$40,MATCH(E753,Lists!$F$4:$F$40,0)),"UNMAPPED"))</f>
        <v/>
      </c>
      <c r="G753" s="25" t="n"/>
      <c r="H753" s="25" t="n"/>
      <c r="I753" s="25" t="n"/>
      <c r="J753" s="25" t="n"/>
      <c r="K753" s="25" t="n"/>
      <c r="L753" s="29" t="n"/>
      <c r="M753" s="25" t="n"/>
      <c r="N753" s="30" t="n"/>
      <c r="O753" s="31">
        <f>IF(N753="","",IF(G753="Revenue",ROUND(N753*VATRate,2),0))</f>
        <v/>
      </c>
      <c r="P753" s="31">
        <f>IF(N753="","",N753+O753)</f>
        <v/>
      </c>
    </row>
    <row r="754">
      <c r="A754" s="26" t="n"/>
      <c r="B754" s="27">
        <f>IF(A754="","",IF(OR(A754&lt;MIN(Lists!$C$4:$C$15),A754&gt;MAX(Lists!$D$4:$D$15)),"No period",INDEX(Lists!$B$4:$B$15,MATCH(A754,Lists!$C$4:$C$15,1))))</f>
        <v/>
      </c>
      <c r="C754" s="28">
        <f>IF(B754="","",IFERROR(INDEX(Lists!$A$4:$A$15,MATCH(B754,Lists!$B$4:$B$15,0)),0))</f>
        <v/>
      </c>
      <c r="D754" s="25" t="n"/>
      <c r="E754" s="24" t="n"/>
      <c r="F754" s="27">
        <f>IF(E754="","",IFERROR(INDEX(Lists!$H$4:$H$40,MATCH(E754,Lists!$F$4:$F$40,0)),"UNMAPPED"))</f>
        <v/>
      </c>
      <c r="G754" s="25" t="n"/>
      <c r="H754" s="25" t="n"/>
      <c r="I754" s="25" t="n"/>
      <c r="J754" s="25" t="n"/>
      <c r="K754" s="25" t="n"/>
      <c r="L754" s="29" t="n"/>
      <c r="M754" s="25" t="n"/>
      <c r="N754" s="30" t="n"/>
      <c r="O754" s="31">
        <f>IF(N754="","",IF(G754="Revenue",ROUND(N754*VATRate,2),0))</f>
        <v/>
      </c>
      <c r="P754" s="31">
        <f>IF(N754="","",N754+O754)</f>
        <v/>
      </c>
    </row>
    <row r="755">
      <c r="A755" s="26" t="n"/>
      <c r="B755" s="27">
        <f>IF(A755="","",IF(OR(A755&lt;MIN(Lists!$C$4:$C$15),A755&gt;MAX(Lists!$D$4:$D$15)),"No period",INDEX(Lists!$B$4:$B$15,MATCH(A755,Lists!$C$4:$C$15,1))))</f>
        <v/>
      </c>
      <c r="C755" s="28">
        <f>IF(B755="","",IFERROR(INDEX(Lists!$A$4:$A$15,MATCH(B755,Lists!$B$4:$B$15,0)),0))</f>
        <v/>
      </c>
      <c r="D755" s="25" t="n"/>
      <c r="E755" s="24" t="n"/>
      <c r="F755" s="27">
        <f>IF(E755="","",IFERROR(INDEX(Lists!$H$4:$H$40,MATCH(E755,Lists!$F$4:$F$40,0)),"UNMAPPED"))</f>
        <v/>
      </c>
      <c r="G755" s="25" t="n"/>
      <c r="H755" s="25" t="n"/>
      <c r="I755" s="25" t="n"/>
      <c r="J755" s="25" t="n"/>
      <c r="K755" s="25" t="n"/>
      <c r="L755" s="29" t="n"/>
      <c r="M755" s="25" t="n"/>
      <c r="N755" s="30" t="n"/>
      <c r="O755" s="31">
        <f>IF(N755="","",IF(G755="Revenue",ROUND(N755*VATRate,2),0))</f>
        <v/>
      </c>
      <c r="P755" s="31">
        <f>IF(N755="","",N755+O755)</f>
        <v/>
      </c>
    </row>
    <row r="756">
      <c r="A756" s="26" t="n"/>
      <c r="B756" s="27">
        <f>IF(A756="","",IF(OR(A756&lt;MIN(Lists!$C$4:$C$15),A756&gt;MAX(Lists!$D$4:$D$15)),"No period",INDEX(Lists!$B$4:$B$15,MATCH(A756,Lists!$C$4:$C$15,1))))</f>
        <v/>
      </c>
      <c r="C756" s="28">
        <f>IF(B756="","",IFERROR(INDEX(Lists!$A$4:$A$15,MATCH(B756,Lists!$B$4:$B$15,0)),0))</f>
        <v/>
      </c>
      <c r="D756" s="25" t="n"/>
      <c r="E756" s="24" t="n"/>
      <c r="F756" s="27">
        <f>IF(E756="","",IFERROR(INDEX(Lists!$H$4:$H$40,MATCH(E756,Lists!$F$4:$F$40,0)),"UNMAPPED"))</f>
        <v/>
      </c>
      <c r="G756" s="25" t="n"/>
      <c r="H756" s="25" t="n"/>
      <c r="I756" s="25" t="n"/>
      <c r="J756" s="25" t="n"/>
      <c r="K756" s="25" t="n"/>
      <c r="L756" s="29" t="n"/>
      <c r="M756" s="25" t="n"/>
      <c r="N756" s="30" t="n"/>
      <c r="O756" s="31">
        <f>IF(N756="","",IF(G756="Revenue",ROUND(N756*VATRate,2),0))</f>
        <v/>
      </c>
      <c r="P756" s="31">
        <f>IF(N756="","",N756+O756)</f>
        <v/>
      </c>
    </row>
    <row r="757">
      <c r="A757" s="26" t="n"/>
      <c r="B757" s="27">
        <f>IF(A757="","",IF(OR(A757&lt;MIN(Lists!$C$4:$C$15),A757&gt;MAX(Lists!$D$4:$D$15)),"No period",INDEX(Lists!$B$4:$B$15,MATCH(A757,Lists!$C$4:$C$15,1))))</f>
        <v/>
      </c>
      <c r="C757" s="28">
        <f>IF(B757="","",IFERROR(INDEX(Lists!$A$4:$A$15,MATCH(B757,Lists!$B$4:$B$15,0)),0))</f>
        <v/>
      </c>
      <c r="D757" s="25" t="n"/>
      <c r="E757" s="24" t="n"/>
      <c r="F757" s="27">
        <f>IF(E757="","",IFERROR(INDEX(Lists!$H$4:$H$40,MATCH(E757,Lists!$F$4:$F$40,0)),"UNMAPPED"))</f>
        <v/>
      </c>
      <c r="G757" s="25" t="n"/>
      <c r="H757" s="25" t="n"/>
      <c r="I757" s="25" t="n"/>
      <c r="J757" s="25" t="n"/>
      <c r="K757" s="25" t="n"/>
      <c r="L757" s="29" t="n"/>
      <c r="M757" s="25" t="n"/>
      <c r="N757" s="30" t="n"/>
      <c r="O757" s="31">
        <f>IF(N757="","",IF(G757="Revenue",ROUND(N757*VATRate,2),0))</f>
        <v/>
      </c>
      <c r="P757" s="31">
        <f>IF(N757="","",N757+O757)</f>
        <v/>
      </c>
    </row>
    <row r="758">
      <c r="A758" s="26" t="n"/>
      <c r="B758" s="27">
        <f>IF(A758="","",IF(OR(A758&lt;MIN(Lists!$C$4:$C$15),A758&gt;MAX(Lists!$D$4:$D$15)),"No period",INDEX(Lists!$B$4:$B$15,MATCH(A758,Lists!$C$4:$C$15,1))))</f>
        <v/>
      </c>
      <c r="C758" s="28">
        <f>IF(B758="","",IFERROR(INDEX(Lists!$A$4:$A$15,MATCH(B758,Lists!$B$4:$B$15,0)),0))</f>
        <v/>
      </c>
      <c r="D758" s="25" t="n"/>
      <c r="E758" s="24" t="n"/>
      <c r="F758" s="27">
        <f>IF(E758="","",IFERROR(INDEX(Lists!$H$4:$H$40,MATCH(E758,Lists!$F$4:$F$40,0)),"UNMAPPED"))</f>
        <v/>
      </c>
      <c r="G758" s="25" t="n"/>
      <c r="H758" s="25" t="n"/>
      <c r="I758" s="25" t="n"/>
      <c r="J758" s="25" t="n"/>
      <c r="K758" s="25" t="n"/>
      <c r="L758" s="29" t="n"/>
      <c r="M758" s="25" t="n"/>
      <c r="N758" s="30" t="n"/>
      <c r="O758" s="31">
        <f>IF(N758="","",IF(G758="Revenue",ROUND(N758*VATRate,2),0))</f>
        <v/>
      </c>
      <c r="P758" s="31">
        <f>IF(N758="","",N758+O758)</f>
        <v/>
      </c>
    </row>
    <row r="759">
      <c r="A759" s="26" t="n"/>
      <c r="B759" s="27">
        <f>IF(A759="","",IF(OR(A759&lt;MIN(Lists!$C$4:$C$15),A759&gt;MAX(Lists!$D$4:$D$15)),"No period",INDEX(Lists!$B$4:$B$15,MATCH(A759,Lists!$C$4:$C$15,1))))</f>
        <v/>
      </c>
      <c r="C759" s="28">
        <f>IF(B759="","",IFERROR(INDEX(Lists!$A$4:$A$15,MATCH(B759,Lists!$B$4:$B$15,0)),0))</f>
        <v/>
      </c>
      <c r="D759" s="25" t="n"/>
      <c r="E759" s="24" t="n"/>
      <c r="F759" s="27">
        <f>IF(E759="","",IFERROR(INDEX(Lists!$H$4:$H$40,MATCH(E759,Lists!$F$4:$F$40,0)),"UNMAPPED"))</f>
        <v/>
      </c>
      <c r="G759" s="25" t="n"/>
      <c r="H759" s="25" t="n"/>
      <c r="I759" s="25" t="n"/>
      <c r="J759" s="25" t="n"/>
      <c r="K759" s="25" t="n"/>
      <c r="L759" s="29" t="n"/>
      <c r="M759" s="25" t="n"/>
      <c r="N759" s="30" t="n"/>
      <c r="O759" s="31">
        <f>IF(N759="","",IF(G759="Revenue",ROUND(N759*VATRate,2),0))</f>
        <v/>
      </c>
      <c r="P759" s="31">
        <f>IF(N759="","",N759+O759)</f>
        <v/>
      </c>
    </row>
    <row r="760">
      <c r="A760" s="26" t="n"/>
      <c r="B760" s="27">
        <f>IF(A760="","",IF(OR(A760&lt;MIN(Lists!$C$4:$C$15),A760&gt;MAX(Lists!$D$4:$D$15)),"No period",INDEX(Lists!$B$4:$B$15,MATCH(A760,Lists!$C$4:$C$15,1))))</f>
        <v/>
      </c>
      <c r="C760" s="28">
        <f>IF(B760="","",IFERROR(INDEX(Lists!$A$4:$A$15,MATCH(B760,Lists!$B$4:$B$15,0)),0))</f>
        <v/>
      </c>
      <c r="D760" s="25" t="n"/>
      <c r="E760" s="24" t="n"/>
      <c r="F760" s="27">
        <f>IF(E760="","",IFERROR(INDEX(Lists!$H$4:$H$40,MATCH(E760,Lists!$F$4:$F$40,0)),"UNMAPPED"))</f>
        <v/>
      </c>
      <c r="G760" s="25" t="n"/>
      <c r="H760" s="25" t="n"/>
      <c r="I760" s="25" t="n"/>
      <c r="J760" s="25" t="n"/>
      <c r="K760" s="25" t="n"/>
      <c r="L760" s="29" t="n"/>
      <c r="M760" s="25" t="n"/>
      <c r="N760" s="30" t="n"/>
      <c r="O760" s="31">
        <f>IF(N760="","",IF(G760="Revenue",ROUND(N760*VATRate,2),0))</f>
        <v/>
      </c>
      <c r="P760" s="31">
        <f>IF(N760="","",N760+O760)</f>
        <v/>
      </c>
    </row>
    <row r="761">
      <c r="A761" s="26" t="n"/>
      <c r="B761" s="27">
        <f>IF(A761="","",IF(OR(A761&lt;MIN(Lists!$C$4:$C$15),A761&gt;MAX(Lists!$D$4:$D$15)),"No period",INDEX(Lists!$B$4:$B$15,MATCH(A761,Lists!$C$4:$C$15,1))))</f>
        <v/>
      </c>
      <c r="C761" s="28">
        <f>IF(B761="","",IFERROR(INDEX(Lists!$A$4:$A$15,MATCH(B761,Lists!$B$4:$B$15,0)),0))</f>
        <v/>
      </c>
      <c r="D761" s="25" t="n"/>
      <c r="E761" s="24" t="n"/>
      <c r="F761" s="27">
        <f>IF(E761="","",IFERROR(INDEX(Lists!$H$4:$H$40,MATCH(E761,Lists!$F$4:$F$40,0)),"UNMAPPED"))</f>
        <v/>
      </c>
      <c r="G761" s="25" t="n"/>
      <c r="H761" s="25" t="n"/>
      <c r="I761" s="25" t="n"/>
      <c r="J761" s="25" t="n"/>
      <c r="K761" s="25" t="n"/>
      <c r="L761" s="29" t="n"/>
      <c r="M761" s="25" t="n"/>
      <c r="N761" s="30" t="n"/>
      <c r="O761" s="31">
        <f>IF(N761="","",IF(G761="Revenue",ROUND(N761*VATRate,2),0))</f>
        <v/>
      </c>
      <c r="P761" s="31">
        <f>IF(N761="","",N761+O761)</f>
        <v/>
      </c>
    </row>
    <row r="762">
      <c r="A762" s="26" t="n"/>
      <c r="B762" s="27">
        <f>IF(A762="","",IF(OR(A762&lt;MIN(Lists!$C$4:$C$15),A762&gt;MAX(Lists!$D$4:$D$15)),"No period",INDEX(Lists!$B$4:$B$15,MATCH(A762,Lists!$C$4:$C$15,1))))</f>
        <v/>
      </c>
      <c r="C762" s="28">
        <f>IF(B762="","",IFERROR(INDEX(Lists!$A$4:$A$15,MATCH(B762,Lists!$B$4:$B$15,0)),0))</f>
        <v/>
      </c>
      <c r="D762" s="25" t="n"/>
      <c r="E762" s="24" t="n"/>
      <c r="F762" s="27">
        <f>IF(E762="","",IFERROR(INDEX(Lists!$H$4:$H$40,MATCH(E762,Lists!$F$4:$F$40,0)),"UNMAPPED"))</f>
        <v/>
      </c>
      <c r="G762" s="25" t="n"/>
      <c r="H762" s="25" t="n"/>
      <c r="I762" s="25" t="n"/>
      <c r="J762" s="25" t="n"/>
      <c r="K762" s="25" t="n"/>
      <c r="L762" s="29" t="n"/>
      <c r="M762" s="25" t="n"/>
      <c r="N762" s="30" t="n"/>
      <c r="O762" s="31">
        <f>IF(N762="","",IF(G762="Revenue",ROUND(N762*VATRate,2),0))</f>
        <v/>
      </c>
      <c r="P762" s="31">
        <f>IF(N762="","",N762+O762)</f>
        <v/>
      </c>
    </row>
    <row r="763">
      <c r="A763" s="26" t="n"/>
      <c r="B763" s="27">
        <f>IF(A763="","",IF(OR(A763&lt;MIN(Lists!$C$4:$C$15),A763&gt;MAX(Lists!$D$4:$D$15)),"No period",INDEX(Lists!$B$4:$B$15,MATCH(A763,Lists!$C$4:$C$15,1))))</f>
        <v/>
      </c>
      <c r="C763" s="28">
        <f>IF(B763="","",IFERROR(INDEX(Lists!$A$4:$A$15,MATCH(B763,Lists!$B$4:$B$15,0)),0))</f>
        <v/>
      </c>
      <c r="D763" s="25" t="n"/>
      <c r="E763" s="24" t="n"/>
      <c r="F763" s="27">
        <f>IF(E763="","",IFERROR(INDEX(Lists!$H$4:$H$40,MATCH(E763,Lists!$F$4:$F$40,0)),"UNMAPPED"))</f>
        <v/>
      </c>
      <c r="G763" s="25" t="n"/>
      <c r="H763" s="25" t="n"/>
      <c r="I763" s="25" t="n"/>
      <c r="J763" s="25" t="n"/>
      <c r="K763" s="25" t="n"/>
      <c r="L763" s="29" t="n"/>
      <c r="M763" s="25" t="n"/>
      <c r="N763" s="30" t="n"/>
      <c r="O763" s="31">
        <f>IF(N763="","",IF(G763="Revenue",ROUND(N763*VATRate,2),0))</f>
        <v/>
      </c>
      <c r="P763" s="31">
        <f>IF(N763="","",N763+O763)</f>
        <v/>
      </c>
    </row>
    <row r="764">
      <c r="A764" s="26" t="n"/>
      <c r="B764" s="27">
        <f>IF(A764="","",IF(OR(A764&lt;MIN(Lists!$C$4:$C$15),A764&gt;MAX(Lists!$D$4:$D$15)),"No period",INDEX(Lists!$B$4:$B$15,MATCH(A764,Lists!$C$4:$C$15,1))))</f>
        <v/>
      </c>
      <c r="C764" s="28">
        <f>IF(B764="","",IFERROR(INDEX(Lists!$A$4:$A$15,MATCH(B764,Lists!$B$4:$B$15,0)),0))</f>
        <v/>
      </c>
      <c r="D764" s="25" t="n"/>
      <c r="E764" s="24" t="n"/>
      <c r="F764" s="27">
        <f>IF(E764="","",IFERROR(INDEX(Lists!$H$4:$H$40,MATCH(E764,Lists!$F$4:$F$40,0)),"UNMAPPED"))</f>
        <v/>
      </c>
      <c r="G764" s="25" t="n"/>
      <c r="H764" s="25" t="n"/>
      <c r="I764" s="25" t="n"/>
      <c r="J764" s="25" t="n"/>
      <c r="K764" s="25" t="n"/>
      <c r="L764" s="29" t="n"/>
      <c r="M764" s="25" t="n"/>
      <c r="N764" s="30" t="n"/>
      <c r="O764" s="31">
        <f>IF(N764="","",IF(G764="Revenue",ROUND(N764*VATRate,2),0))</f>
        <v/>
      </c>
      <c r="P764" s="31">
        <f>IF(N764="","",N764+O764)</f>
        <v/>
      </c>
    </row>
    <row r="765">
      <c r="A765" s="26" t="n"/>
      <c r="B765" s="27">
        <f>IF(A765="","",IF(OR(A765&lt;MIN(Lists!$C$4:$C$15),A765&gt;MAX(Lists!$D$4:$D$15)),"No period",INDEX(Lists!$B$4:$B$15,MATCH(A765,Lists!$C$4:$C$15,1))))</f>
        <v/>
      </c>
      <c r="C765" s="28">
        <f>IF(B765="","",IFERROR(INDEX(Lists!$A$4:$A$15,MATCH(B765,Lists!$B$4:$B$15,0)),0))</f>
        <v/>
      </c>
      <c r="D765" s="25" t="n"/>
      <c r="E765" s="24" t="n"/>
      <c r="F765" s="27">
        <f>IF(E765="","",IFERROR(INDEX(Lists!$H$4:$H$40,MATCH(E765,Lists!$F$4:$F$40,0)),"UNMAPPED"))</f>
        <v/>
      </c>
      <c r="G765" s="25" t="n"/>
      <c r="H765" s="25" t="n"/>
      <c r="I765" s="25" t="n"/>
      <c r="J765" s="25" t="n"/>
      <c r="K765" s="25" t="n"/>
      <c r="L765" s="29" t="n"/>
      <c r="M765" s="25" t="n"/>
      <c r="N765" s="30" t="n"/>
      <c r="O765" s="31">
        <f>IF(N765="","",IF(G765="Revenue",ROUND(N765*VATRate,2),0))</f>
        <v/>
      </c>
      <c r="P765" s="31">
        <f>IF(N765="","",N765+O765)</f>
        <v/>
      </c>
    </row>
    <row r="766">
      <c r="A766" s="26" t="n"/>
      <c r="B766" s="27">
        <f>IF(A766="","",IF(OR(A766&lt;MIN(Lists!$C$4:$C$15),A766&gt;MAX(Lists!$D$4:$D$15)),"No period",INDEX(Lists!$B$4:$B$15,MATCH(A766,Lists!$C$4:$C$15,1))))</f>
        <v/>
      </c>
      <c r="C766" s="28">
        <f>IF(B766="","",IFERROR(INDEX(Lists!$A$4:$A$15,MATCH(B766,Lists!$B$4:$B$15,0)),0))</f>
        <v/>
      </c>
      <c r="D766" s="25" t="n"/>
      <c r="E766" s="24" t="n"/>
      <c r="F766" s="27">
        <f>IF(E766="","",IFERROR(INDEX(Lists!$H$4:$H$40,MATCH(E766,Lists!$F$4:$F$40,0)),"UNMAPPED"))</f>
        <v/>
      </c>
      <c r="G766" s="25" t="n"/>
      <c r="H766" s="25" t="n"/>
      <c r="I766" s="25" t="n"/>
      <c r="J766" s="25" t="n"/>
      <c r="K766" s="25" t="n"/>
      <c r="L766" s="29" t="n"/>
      <c r="M766" s="25" t="n"/>
      <c r="N766" s="30" t="n"/>
      <c r="O766" s="31">
        <f>IF(N766="","",IF(G766="Revenue",ROUND(N766*VATRate,2),0))</f>
        <v/>
      </c>
      <c r="P766" s="31">
        <f>IF(N766="","",N766+O766)</f>
        <v/>
      </c>
    </row>
    <row r="767">
      <c r="A767" s="26" t="n"/>
      <c r="B767" s="27">
        <f>IF(A767="","",IF(OR(A767&lt;MIN(Lists!$C$4:$C$15),A767&gt;MAX(Lists!$D$4:$D$15)),"No period",INDEX(Lists!$B$4:$B$15,MATCH(A767,Lists!$C$4:$C$15,1))))</f>
        <v/>
      </c>
      <c r="C767" s="28">
        <f>IF(B767="","",IFERROR(INDEX(Lists!$A$4:$A$15,MATCH(B767,Lists!$B$4:$B$15,0)),0))</f>
        <v/>
      </c>
      <c r="D767" s="25" t="n"/>
      <c r="E767" s="24" t="n"/>
      <c r="F767" s="27">
        <f>IF(E767="","",IFERROR(INDEX(Lists!$H$4:$H$40,MATCH(E767,Lists!$F$4:$F$40,0)),"UNMAPPED"))</f>
        <v/>
      </c>
      <c r="G767" s="25" t="n"/>
      <c r="H767" s="25" t="n"/>
      <c r="I767" s="25" t="n"/>
      <c r="J767" s="25" t="n"/>
      <c r="K767" s="25" t="n"/>
      <c r="L767" s="29" t="n"/>
      <c r="M767" s="25" t="n"/>
      <c r="N767" s="30" t="n"/>
      <c r="O767" s="31">
        <f>IF(N767="","",IF(G767="Revenue",ROUND(N767*VATRate,2),0))</f>
        <v/>
      </c>
      <c r="P767" s="31">
        <f>IF(N767="","",N767+O767)</f>
        <v/>
      </c>
    </row>
    <row r="768">
      <c r="A768" s="26" t="n"/>
      <c r="B768" s="27">
        <f>IF(A768="","",IF(OR(A768&lt;MIN(Lists!$C$4:$C$15),A768&gt;MAX(Lists!$D$4:$D$15)),"No period",INDEX(Lists!$B$4:$B$15,MATCH(A768,Lists!$C$4:$C$15,1))))</f>
        <v/>
      </c>
      <c r="C768" s="28">
        <f>IF(B768="","",IFERROR(INDEX(Lists!$A$4:$A$15,MATCH(B768,Lists!$B$4:$B$15,0)),0))</f>
        <v/>
      </c>
      <c r="D768" s="25" t="n"/>
      <c r="E768" s="24" t="n"/>
      <c r="F768" s="27">
        <f>IF(E768="","",IFERROR(INDEX(Lists!$H$4:$H$40,MATCH(E768,Lists!$F$4:$F$40,0)),"UNMAPPED"))</f>
        <v/>
      </c>
      <c r="G768" s="25" t="n"/>
      <c r="H768" s="25" t="n"/>
      <c r="I768" s="25" t="n"/>
      <c r="J768" s="25" t="n"/>
      <c r="K768" s="25" t="n"/>
      <c r="L768" s="29" t="n"/>
      <c r="M768" s="25" t="n"/>
      <c r="N768" s="30" t="n"/>
      <c r="O768" s="31">
        <f>IF(N768="","",IF(G768="Revenue",ROUND(N768*VATRate,2),0))</f>
        <v/>
      </c>
      <c r="P768" s="31">
        <f>IF(N768="","",N768+O768)</f>
        <v/>
      </c>
    </row>
    <row r="769">
      <c r="A769" s="26" t="n"/>
      <c r="B769" s="27">
        <f>IF(A769="","",IF(OR(A769&lt;MIN(Lists!$C$4:$C$15),A769&gt;MAX(Lists!$D$4:$D$15)),"No period",INDEX(Lists!$B$4:$B$15,MATCH(A769,Lists!$C$4:$C$15,1))))</f>
        <v/>
      </c>
      <c r="C769" s="28">
        <f>IF(B769="","",IFERROR(INDEX(Lists!$A$4:$A$15,MATCH(B769,Lists!$B$4:$B$15,0)),0))</f>
        <v/>
      </c>
      <c r="D769" s="25" t="n"/>
      <c r="E769" s="24" t="n"/>
      <c r="F769" s="27">
        <f>IF(E769="","",IFERROR(INDEX(Lists!$H$4:$H$40,MATCH(E769,Lists!$F$4:$F$40,0)),"UNMAPPED"))</f>
        <v/>
      </c>
      <c r="G769" s="25" t="n"/>
      <c r="H769" s="25" t="n"/>
      <c r="I769" s="25" t="n"/>
      <c r="J769" s="25" t="n"/>
      <c r="K769" s="25" t="n"/>
      <c r="L769" s="29" t="n"/>
      <c r="M769" s="25" t="n"/>
      <c r="N769" s="30" t="n"/>
      <c r="O769" s="31">
        <f>IF(N769="","",IF(G769="Revenue",ROUND(N769*VATRate,2),0))</f>
        <v/>
      </c>
      <c r="P769" s="31">
        <f>IF(N769="","",N769+O769)</f>
        <v/>
      </c>
    </row>
    <row r="770">
      <c r="A770" s="26" t="n"/>
      <c r="B770" s="27">
        <f>IF(A770="","",IF(OR(A770&lt;MIN(Lists!$C$4:$C$15),A770&gt;MAX(Lists!$D$4:$D$15)),"No period",INDEX(Lists!$B$4:$B$15,MATCH(A770,Lists!$C$4:$C$15,1))))</f>
        <v/>
      </c>
      <c r="C770" s="28">
        <f>IF(B770="","",IFERROR(INDEX(Lists!$A$4:$A$15,MATCH(B770,Lists!$B$4:$B$15,0)),0))</f>
        <v/>
      </c>
      <c r="D770" s="25" t="n"/>
      <c r="E770" s="24" t="n"/>
      <c r="F770" s="27">
        <f>IF(E770="","",IFERROR(INDEX(Lists!$H$4:$H$40,MATCH(E770,Lists!$F$4:$F$40,0)),"UNMAPPED"))</f>
        <v/>
      </c>
      <c r="G770" s="25" t="n"/>
      <c r="H770" s="25" t="n"/>
      <c r="I770" s="25" t="n"/>
      <c r="J770" s="25" t="n"/>
      <c r="K770" s="25" t="n"/>
      <c r="L770" s="29" t="n"/>
      <c r="M770" s="25" t="n"/>
      <c r="N770" s="30" t="n"/>
      <c r="O770" s="31">
        <f>IF(N770="","",IF(G770="Revenue",ROUND(N770*VATRate,2),0))</f>
        <v/>
      </c>
      <c r="P770" s="31">
        <f>IF(N770="","",N770+O770)</f>
        <v/>
      </c>
    </row>
    <row r="771">
      <c r="A771" s="26" t="n"/>
      <c r="B771" s="27">
        <f>IF(A771="","",IF(OR(A771&lt;MIN(Lists!$C$4:$C$15),A771&gt;MAX(Lists!$D$4:$D$15)),"No period",INDEX(Lists!$B$4:$B$15,MATCH(A771,Lists!$C$4:$C$15,1))))</f>
        <v/>
      </c>
      <c r="C771" s="28">
        <f>IF(B771="","",IFERROR(INDEX(Lists!$A$4:$A$15,MATCH(B771,Lists!$B$4:$B$15,0)),0))</f>
        <v/>
      </c>
      <c r="D771" s="25" t="n"/>
      <c r="E771" s="24" t="n"/>
      <c r="F771" s="27">
        <f>IF(E771="","",IFERROR(INDEX(Lists!$H$4:$H$40,MATCH(E771,Lists!$F$4:$F$40,0)),"UNMAPPED"))</f>
        <v/>
      </c>
      <c r="G771" s="25" t="n"/>
      <c r="H771" s="25" t="n"/>
      <c r="I771" s="25" t="n"/>
      <c r="J771" s="25" t="n"/>
      <c r="K771" s="25" t="n"/>
      <c r="L771" s="29" t="n"/>
      <c r="M771" s="25" t="n"/>
      <c r="N771" s="30" t="n"/>
      <c r="O771" s="31">
        <f>IF(N771="","",IF(G771="Revenue",ROUND(N771*VATRate,2),0))</f>
        <v/>
      </c>
      <c r="P771" s="31">
        <f>IF(N771="","",N771+O771)</f>
        <v/>
      </c>
    </row>
    <row r="772">
      <c r="A772" s="26" t="n"/>
      <c r="B772" s="27">
        <f>IF(A772="","",IF(OR(A772&lt;MIN(Lists!$C$4:$C$15),A772&gt;MAX(Lists!$D$4:$D$15)),"No period",INDEX(Lists!$B$4:$B$15,MATCH(A772,Lists!$C$4:$C$15,1))))</f>
        <v/>
      </c>
      <c r="C772" s="28">
        <f>IF(B772="","",IFERROR(INDEX(Lists!$A$4:$A$15,MATCH(B772,Lists!$B$4:$B$15,0)),0))</f>
        <v/>
      </c>
      <c r="D772" s="25" t="n"/>
      <c r="E772" s="24" t="n"/>
      <c r="F772" s="27">
        <f>IF(E772="","",IFERROR(INDEX(Lists!$H$4:$H$40,MATCH(E772,Lists!$F$4:$F$40,0)),"UNMAPPED"))</f>
        <v/>
      </c>
      <c r="G772" s="25" t="n"/>
      <c r="H772" s="25" t="n"/>
      <c r="I772" s="25" t="n"/>
      <c r="J772" s="25" t="n"/>
      <c r="K772" s="25" t="n"/>
      <c r="L772" s="29" t="n"/>
      <c r="M772" s="25" t="n"/>
      <c r="N772" s="30" t="n"/>
      <c r="O772" s="31">
        <f>IF(N772="","",IF(G772="Revenue",ROUND(N772*VATRate,2),0))</f>
        <v/>
      </c>
      <c r="P772" s="31">
        <f>IF(N772="","",N772+O772)</f>
        <v/>
      </c>
    </row>
    <row r="773">
      <c r="A773" s="26" t="n"/>
      <c r="B773" s="27">
        <f>IF(A773="","",IF(OR(A773&lt;MIN(Lists!$C$4:$C$15),A773&gt;MAX(Lists!$D$4:$D$15)),"No period",INDEX(Lists!$B$4:$B$15,MATCH(A773,Lists!$C$4:$C$15,1))))</f>
        <v/>
      </c>
      <c r="C773" s="28">
        <f>IF(B773="","",IFERROR(INDEX(Lists!$A$4:$A$15,MATCH(B773,Lists!$B$4:$B$15,0)),0))</f>
        <v/>
      </c>
      <c r="D773" s="25" t="n"/>
      <c r="E773" s="24" t="n"/>
      <c r="F773" s="27">
        <f>IF(E773="","",IFERROR(INDEX(Lists!$H$4:$H$40,MATCH(E773,Lists!$F$4:$F$40,0)),"UNMAPPED"))</f>
        <v/>
      </c>
      <c r="G773" s="25" t="n"/>
      <c r="H773" s="25" t="n"/>
      <c r="I773" s="25" t="n"/>
      <c r="J773" s="25" t="n"/>
      <c r="K773" s="25" t="n"/>
      <c r="L773" s="29" t="n"/>
      <c r="M773" s="25" t="n"/>
      <c r="N773" s="30" t="n"/>
      <c r="O773" s="31">
        <f>IF(N773="","",IF(G773="Revenue",ROUND(N773*VATRate,2),0))</f>
        <v/>
      </c>
      <c r="P773" s="31">
        <f>IF(N773="","",N773+O773)</f>
        <v/>
      </c>
    </row>
    <row r="774">
      <c r="A774" s="26" t="n"/>
      <c r="B774" s="27">
        <f>IF(A774="","",IF(OR(A774&lt;MIN(Lists!$C$4:$C$15),A774&gt;MAX(Lists!$D$4:$D$15)),"No period",INDEX(Lists!$B$4:$B$15,MATCH(A774,Lists!$C$4:$C$15,1))))</f>
        <v/>
      </c>
      <c r="C774" s="28">
        <f>IF(B774="","",IFERROR(INDEX(Lists!$A$4:$A$15,MATCH(B774,Lists!$B$4:$B$15,0)),0))</f>
        <v/>
      </c>
      <c r="D774" s="25" t="n"/>
      <c r="E774" s="24" t="n"/>
      <c r="F774" s="27">
        <f>IF(E774="","",IFERROR(INDEX(Lists!$H$4:$H$40,MATCH(E774,Lists!$F$4:$F$40,0)),"UNMAPPED"))</f>
        <v/>
      </c>
      <c r="G774" s="25" t="n"/>
      <c r="H774" s="25" t="n"/>
      <c r="I774" s="25" t="n"/>
      <c r="J774" s="25" t="n"/>
      <c r="K774" s="25" t="n"/>
      <c r="L774" s="29" t="n"/>
      <c r="M774" s="25" t="n"/>
      <c r="N774" s="30" t="n"/>
      <c r="O774" s="31">
        <f>IF(N774="","",IF(G774="Revenue",ROUND(N774*VATRate,2),0))</f>
        <v/>
      </c>
      <c r="P774" s="31">
        <f>IF(N774="","",N774+O774)</f>
        <v/>
      </c>
    </row>
    <row r="775">
      <c r="A775" s="26" t="n"/>
      <c r="B775" s="27">
        <f>IF(A775="","",IF(OR(A775&lt;MIN(Lists!$C$4:$C$15),A775&gt;MAX(Lists!$D$4:$D$15)),"No period",INDEX(Lists!$B$4:$B$15,MATCH(A775,Lists!$C$4:$C$15,1))))</f>
        <v/>
      </c>
      <c r="C775" s="28">
        <f>IF(B775="","",IFERROR(INDEX(Lists!$A$4:$A$15,MATCH(B775,Lists!$B$4:$B$15,0)),0))</f>
        <v/>
      </c>
      <c r="D775" s="25" t="n"/>
      <c r="E775" s="24" t="n"/>
      <c r="F775" s="27">
        <f>IF(E775="","",IFERROR(INDEX(Lists!$H$4:$H$40,MATCH(E775,Lists!$F$4:$F$40,0)),"UNMAPPED"))</f>
        <v/>
      </c>
      <c r="G775" s="25" t="n"/>
      <c r="H775" s="25" t="n"/>
      <c r="I775" s="25" t="n"/>
      <c r="J775" s="25" t="n"/>
      <c r="K775" s="25" t="n"/>
      <c r="L775" s="29" t="n"/>
      <c r="M775" s="25" t="n"/>
      <c r="N775" s="30" t="n"/>
      <c r="O775" s="31">
        <f>IF(N775="","",IF(G775="Revenue",ROUND(N775*VATRate,2),0))</f>
        <v/>
      </c>
      <c r="P775" s="31">
        <f>IF(N775="","",N775+O775)</f>
        <v/>
      </c>
    </row>
    <row r="776">
      <c r="A776" s="26" t="n"/>
      <c r="B776" s="27">
        <f>IF(A776="","",IF(OR(A776&lt;MIN(Lists!$C$4:$C$15),A776&gt;MAX(Lists!$D$4:$D$15)),"No period",INDEX(Lists!$B$4:$B$15,MATCH(A776,Lists!$C$4:$C$15,1))))</f>
        <v/>
      </c>
      <c r="C776" s="28">
        <f>IF(B776="","",IFERROR(INDEX(Lists!$A$4:$A$15,MATCH(B776,Lists!$B$4:$B$15,0)),0))</f>
        <v/>
      </c>
      <c r="D776" s="25" t="n"/>
      <c r="E776" s="24" t="n"/>
      <c r="F776" s="27">
        <f>IF(E776="","",IFERROR(INDEX(Lists!$H$4:$H$40,MATCH(E776,Lists!$F$4:$F$40,0)),"UNMAPPED"))</f>
        <v/>
      </c>
      <c r="G776" s="25" t="n"/>
      <c r="H776" s="25" t="n"/>
      <c r="I776" s="25" t="n"/>
      <c r="J776" s="25" t="n"/>
      <c r="K776" s="25" t="n"/>
      <c r="L776" s="29" t="n"/>
      <c r="M776" s="25" t="n"/>
      <c r="N776" s="30" t="n"/>
      <c r="O776" s="31">
        <f>IF(N776="","",IF(G776="Revenue",ROUND(N776*VATRate,2),0))</f>
        <v/>
      </c>
      <c r="P776" s="31">
        <f>IF(N776="","",N776+O776)</f>
        <v/>
      </c>
    </row>
    <row r="777">
      <c r="A777" s="26" t="n"/>
      <c r="B777" s="27">
        <f>IF(A777="","",IF(OR(A777&lt;MIN(Lists!$C$4:$C$15),A777&gt;MAX(Lists!$D$4:$D$15)),"No period",INDEX(Lists!$B$4:$B$15,MATCH(A777,Lists!$C$4:$C$15,1))))</f>
        <v/>
      </c>
      <c r="C777" s="28">
        <f>IF(B777="","",IFERROR(INDEX(Lists!$A$4:$A$15,MATCH(B777,Lists!$B$4:$B$15,0)),0))</f>
        <v/>
      </c>
      <c r="D777" s="25" t="n"/>
      <c r="E777" s="24" t="n"/>
      <c r="F777" s="27">
        <f>IF(E777="","",IFERROR(INDEX(Lists!$H$4:$H$40,MATCH(E777,Lists!$F$4:$F$40,0)),"UNMAPPED"))</f>
        <v/>
      </c>
      <c r="G777" s="25" t="n"/>
      <c r="H777" s="25" t="n"/>
      <c r="I777" s="25" t="n"/>
      <c r="J777" s="25" t="n"/>
      <c r="K777" s="25" t="n"/>
      <c r="L777" s="29" t="n"/>
      <c r="M777" s="25" t="n"/>
      <c r="N777" s="30" t="n"/>
      <c r="O777" s="31">
        <f>IF(N777="","",IF(G777="Revenue",ROUND(N777*VATRate,2),0))</f>
        <v/>
      </c>
      <c r="P777" s="31">
        <f>IF(N777="","",N777+O777)</f>
        <v/>
      </c>
    </row>
    <row r="778">
      <c r="A778" s="26" t="n"/>
      <c r="B778" s="27">
        <f>IF(A778="","",IF(OR(A778&lt;MIN(Lists!$C$4:$C$15),A778&gt;MAX(Lists!$D$4:$D$15)),"No period",INDEX(Lists!$B$4:$B$15,MATCH(A778,Lists!$C$4:$C$15,1))))</f>
        <v/>
      </c>
      <c r="C778" s="28">
        <f>IF(B778="","",IFERROR(INDEX(Lists!$A$4:$A$15,MATCH(B778,Lists!$B$4:$B$15,0)),0))</f>
        <v/>
      </c>
      <c r="D778" s="25" t="n"/>
      <c r="E778" s="24" t="n"/>
      <c r="F778" s="27">
        <f>IF(E778="","",IFERROR(INDEX(Lists!$H$4:$H$40,MATCH(E778,Lists!$F$4:$F$40,0)),"UNMAPPED"))</f>
        <v/>
      </c>
      <c r="G778" s="25" t="n"/>
      <c r="H778" s="25" t="n"/>
      <c r="I778" s="25" t="n"/>
      <c r="J778" s="25" t="n"/>
      <c r="K778" s="25" t="n"/>
      <c r="L778" s="29" t="n"/>
      <c r="M778" s="25" t="n"/>
      <c r="N778" s="30" t="n"/>
      <c r="O778" s="31">
        <f>IF(N778="","",IF(G778="Revenue",ROUND(N778*VATRate,2),0))</f>
        <v/>
      </c>
      <c r="P778" s="31">
        <f>IF(N778="","",N778+O778)</f>
        <v/>
      </c>
    </row>
    <row r="779">
      <c r="A779" s="26" t="n"/>
      <c r="B779" s="27">
        <f>IF(A779="","",IF(OR(A779&lt;MIN(Lists!$C$4:$C$15),A779&gt;MAX(Lists!$D$4:$D$15)),"No period",INDEX(Lists!$B$4:$B$15,MATCH(A779,Lists!$C$4:$C$15,1))))</f>
        <v/>
      </c>
      <c r="C779" s="28">
        <f>IF(B779="","",IFERROR(INDEX(Lists!$A$4:$A$15,MATCH(B779,Lists!$B$4:$B$15,0)),0))</f>
        <v/>
      </c>
      <c r="D779" s="25" t="n"/>
      <c r="E779" s="24" t="n"/>
      <c r="F779" s="27">
        <f>IF(E779="","",IFERROR(INDEX(Lists!$H$4:$H$40,MATCH(E779,Lists!$F$4:$F$40,0)),"UNMAPPED"))</f>
        <v/>
      </c>
      <c r="G779" s="25" t="n"/>
      <c r="H779" s="25" t="n"/>
      <c r="I779" s="25" t="n"/>
      <c r="J779" s="25" t="n"/>
      <c r="K779" s="25" t="n"/>
      <c r="L779" s="29" t="n"/>
      <c r="M779" s="25" t="n"/>
      <c r="N779" s="30" t="n"/>
      <c r="O779" s="31">
        <f>IF(N779="","",IF(G779="Revenue",ROUND(N779*VATRate,2),0))</f>
        <v/>
      </c>
      <c r="P779" s="31">
        <f>IF(N779="","",N779+O779)</f>
        <v/>
      </c>
    </row>
    <row r="780">
      <c r="A780" s="26" t="n"/>
      <c r="B780" s="27">
        <f>IF(A780="","",IF(OR(A780&lt;MIN(Lists!$C$4:$C$15),A780&gt;MAX(Lists!$D$4:$D$15)),"No period",INDEX(Lists!$B$4:$B$15,MATCH(A780,Lists!$C$4:$C$15,1))))</f>
        <v/>
      </c>
      <c r="C780" s="28">
        <f>IF(B780="","",IFERROR(INDEX(Lists!$A$4:$A$15,MATCH(B780,Lists!$B$4:$B$15,0)),0))</f>
        <v/>
      </c>
      <c r="D780" s="25" t="n"/>
      <c r="E780" s="24" t="n"/>
      <c r="F780" s="27">
        <f>IF(E780="","",IFERROR(INDEX(Lists!$H$4:$H$40,MATCH(E780,Lists!$F$4:$F$40,0)),"UNMAPPED"))</f>
        <v/>
      </c>
      <c r="G780" s="25" t="n"/>
      <c r="H780" s="25" t="n"/>
      <c r="I780" s="25" t="n"/>
      <c r="J780" s="25" t="n"/>
      <c r="K780" s="25" t="n"/>
      <c r="L780" s="29" t="n"/>
      <c r="M780" s="25" t="n"/>
      <c r="N780" s="30" t="n"/>
      <c r="O780" s="31">
        <f>IF(N780="","",IF(G780="Revenue",ROUND(N780*VATRate,2),0))</f>
        <v/>
      </c>
      <c r="P780" s="31">
        <f>IF(N780="","",N780+O780)</f>
        <v/>
      </c>
    </row>
    <row r="781">
      <c r="A781" s="26" t="n"/>
      <c r="B781" s="27">
        <f>IF(A781="","",IF(OR(A781&lt;MIN(Lists!$C$4:$C$15),A781&gt;MAX(Lists!$D$4:$D$15)),"No period",INDEX(Lists!$B$4:$B$15,MATCH(A781,Lists!$C$4:$C$15,1))))</f>
        <v/>
      </c>
      <c r="C781" s="28">
        <f>IF(B781="","",IFERROR(INDEX(Lists!$A$4:$A$15,MATCH(B781,Lists!$B$4:$B$15,0)),0))</f>
        <v/>
      </c>
      <c r="D781" s="25" t="n"/>
      <c r="E781" s="24" t="n"/>
      <c r="F781" s="27">
        <f>IF(E781="","",IFERROR(INDEX(Lists!$H$4:$H$40,MATCH(E781,Lists!$F$4:$F$40,0)),"UNMAPPED"))</f>
        <v/>
      </c>
      <c r="G781" s="25" t="n"/>
      <c r="H781" s="25" t="n"/>
      <c r="I781" s="25" t="n"/>
      <c r="J781" s="25" t="n"/>
      <c r="K781" s="25" t="n"/>
      <c r="L781" s="29" t="n"/>
      <c r="M781" s="25" t="n"/>
      <c r="N781" s="30" t="n"/>
      <c r="O781" s="31">
        <f>IF(N781="","",IF(G781="Revenue",ROUND(N781*VATRate,2),0))</f>
        <v/>
      </c>
      <c r="P781" s="31">
        <f>IF(N781="","",N781+O781)</f>
        <v/>
      </c>
    </row>
    <row r="782">
      <c r="A782" s="26" t="n"/>
      <c r="B782" s="27">
        <f>IF(A782="","",IF(OR(A782&lt;MIN(Lists!$C$4:$C$15),A782&gt;MAX(Lists!$D$4:$D$15)),"No period",INDEX(Lists!$B$4:$B$15,MATCH(A782,Lists!$C$4:$C$15,1))))</f>
        <v/>
      </c>
      <c r="C782" s="28">
        <f>IF(B782="","",IFERROR(INDEX(Lists!$A$4:$A$15,MATCH(B782,Lists!$B$4:$B$15,0)),0))</f>
        <v/>
      </c>
      <c r="D782" s="25" t="n"/>
      <c r="E782" s="24" t="n"/>
      <c r="F782" s="27">
        <f>IF(E782="","",IFERROR(INDEX(Lists!$H$4:$H$40,MATCH(E782,Lists!$F$4:$F$40,0)),"UNMAPPED"))</f>
        <v/>
      </c>
      <c r="G782" s="25" t="n"/>
      <c r="H782" s="25" t="n"/>
      <c r="I782" s="25" t="n"/>
      <c r="J782" s="25" t="n"/>
      <c r="K782" s="25" t="n"/>
      <c r="L782" s="29" t="n"/>
      <c r="M782" s="25" t="n"/>
      <c r="N782" s="30" t="n"/>
      <c r="O782" s="31">
        <f>IF(N782="","",IF(G782="Revenue",ROUND(N782*VATRate,2),0))</f>
        <v/>
      </c>
      <c r="P782" s="31">
        <f>IF(N782="","",N782+O782)</f>
        <v/>
      </c>
    </row>
    <row r="783">
      <c r="A783" s="26" t="n"/>
      <c r="B783" s="27">
        <f>IF(A783="","",IF(OR(A783&lt;MIN(Lists!$C$4:$C$15),A783&gt;MAX(Lists!$D$4:$D$15)),"No period",INDEX(Lists!$B$4:$B$15,MATCH(A783,Lists!$C$4:$C$15,1))))</f>
        <v/>
      </c>
      <c r="C783" s="28">
        <f>IF(B783="","",IFERROR(INDEX(Lists!$A$4:$A$15,MATCH(B783,Lists!$B$4:$B$15,0)),0))</f>
        <v/>
      </c>
      <c r="D783" s="25" t="n"/>
      <c r="E783" s="24" t="n"/>
      <c r="F783" s="27">
        <f>IF(E783="","",IFERROR(INDEX(Lists!$H$4:$H$40,MATCH(E783,Lists!$F$4:$F$40,0)),"UNMAPPED"))</f>
        <v/>
      </c>
      <c r="G783" s="25" t="n"/>
      <c r="H783" s="25" t="n"/>
      <c r="I783" s="25" t="n"/>
      <c r="J783" s="25" t="n"/>
      <c r="K783" s="25" t="n"/>
      <c r="L783" s="29" t="n"/>
      <c r="M783" s="25" t="n"/>
      <c r="N783" s="30" t="n"/>
      <c r="O783" s="31">
        <f>IF(N783="","",IF(G783="Revenue",ROUND(N783*VATRate,2),0))</f>
        <v/>
      </c>
      <c r="P783" s="31">
        <f>IF(N783="","",N783+O783)</f>
        <v/>
      </c>
    </row>
    <row r="784">
      <c r="A784" s="26" t="n"/>
      <c r="B784" s="27">
        <f>IF(A784="","",IF(OR(A784&lt;MIN(Lists!$C$4:$C$15),A784&gt;MAX(Lists!$D$4:$D$15)),"No period",INDEX(Lists!$B$4:$B$15,MATCH(A784,Lists!$C$4:$C$15,1))))</f>
        <v/>
      </c>
      <c r="C784" s="28">
        <f>IF(B784="","",IFERROR(INDEX(Lists!$A$4:$A$15,MATCH(B784,Lists!$B$4:$B$15,0)),0))</f>
        <v/>
      </c>
      <c r="D784" s="25" t="n"/>
      <c r="E784" s="24" t="n"/>
      <c r="F784" s="27">
        <f>IF(E784="","",IFERROR(INDEX(Lists!$H$4:$H$40,MATCH(E784,Lists!$F$4:$F$40,0)),"UNMAPPED"))</f>
        <v/>
      </c>
      <c r="G784" s="25" t="n"/>
      <c r="H784" s="25" t="n"/>
      <c r="I784" s="25" t="n"/>
      <c r="J784" s="25" t="n"/>
      <c r="K784" s="25" t="n"/>
      <c r="L784" s="29" t="n"/>
      <c r="M784" s="25" t="n"/>
      <c r="N784" s="30" t="n"/>
      <c r="O784" s="31">
        <f>IF(N784="","",IF(G784="Revenue",ROUND(N784*VATRate,2),0))</f>
        <v/>
      </c>
      <c r="P784" s="31">
        <f>IF(N784="","",N784+O784)</f>
        <v/>
      </c>
    </row>
    <row r="785">
      <c r="A785" s="26" t="n"/>
      <c r="B785" s="27">
        <f>IF(A785="","",IF(OR(A785&lt;MIN(Lists!$C$4:$C$15),A785&gt;MAX(Lists!$D$4:$D$15)),"No period",INDEX(Lists!$B$4:$B$15,MATCH(A785,Lists!$C$4:$C$15,1))))</f>
        <v/>
      </c>
      <c r="C785" s="28">
        <f>IF(B785="","",IFERROR(INDEX(Lists!$A$4:$A$15,MATCH(B785,Lists!$B$4:$B$15,0)),0))</f>
        <v/>
      </c>
      <c r="D785" s="25" t="n"/>
      <c r="E785" s="24" t="n"/>
      <c r="F785" s="27">
        <f>IF(E785="","",IFERROR(INDEX(Lists!$H$4:$H$40,MATCH(E785,Lists!$F$4:$F$40,0)),"UNMAPPED"))</f>
        <v/>
      </c>
      <c r="G785" s="25" t="n"/>
      <c r="H785" s="25" t="n"/>
      <c r="I785" s="25" t="n"/>
      <c r="J785" s="25" t="n"/>
      <c r="K785" s="25" t="n"/>
      <c r="L785" s="29" t="n"/>
      <c r="M785" s="25" t="n"/>
      <c r="N785" s="30" t="n"/>
      <c r="O785" s="31">
        <f>IF(N785="","",IF(G785="Revenue",ROUND(N785*VATRate,2),0))</f>
        <v/>
      </c>
      <c r="P785" s="31">
        <f>IF(N785="","",N785+O785)</f>
        <v/>
      </c>
    </row>
    <row r="786">
      <c r="A786" s="26" t="n"/>
      <c r="B786" s="27">
        <f>IF(A786="","",IF(OR(A786&lt;MIN(Lists!$C$4:$C$15),A786&gt;MAX(Lists!$D$4:$D$15)),"No period",INDEX(Lists!$B$4:$B$15,MATCH(A786,Lists!$C$4:$C$15,1))))</f>
        <v/>
      </c>
      <c r="C786" s="28">
        <f>IF(B786="","",IFERROR(INDEX(Lists!$A$4:$A$15,MATCH(B786,Lists!$B$4:$B$15,0)),0))</f>
        <v/>
      </c>
      <c r="D786" s="25" t="n"/>
      <c r="E786" s="24" t="n"/>
      <c r="F786" s="27">
        <f>IF(E786="","",IFERROR(INDEX(Lists!$H$4:$H$40,MATCH(E786,Lists!$F$4:$F$40,0)),"UNMAPPED"))</f>
        <v/>
      </c>
      <c r="G786" s="25" t="n"/>
      <c r="H786" s="25" t="n"/>
      <c r="I786" s="25" t="n"/>
      <c r="J786" s="25" t="n"/>
      <c r="K786" s="25" t="n"/>
      <c r="L786" s="29" t="n"/>
      <c r="M786" s="25" t="n"/>
      <c r="N786" s="30" t="n"/>
      <c r="O786" s="31">
        <f>IF(N786="","",IF(G786="Revenue",ROUND(N786*VATRate,2),0))</f>
        <v/>
      </c>
      <c r="P786" s="31">
        <f>IF(N786="","",N786+O786)</f>
        <v/>
      </c>
    </row>
    <row r="787">
      <c r="A787" s="26" t="n"/>
      <c r="B787" s="27">
        <f>IF(A787="","",IF(OR(A787&lt;MIN(Lists!$C$4:$C$15),A787&gt;MAX(Lists!$D$4:$D$15)),"No period",INDEX(Lists!$B$4:$B$15,MATCH(A787,Lists!$C$4:$C$15,1))))</f>
        <v/>
      </c>
      <c r="C787" s="28">
        <f>IF(B787="","",IFERROR(INDEX(Lists!$A$4:$A$15,MATCH(B787,Lists!$B$4:$B$15,0)),0))</f>
        <v/>
      </c>
      <c r="D787" s="25" t="n"/>
      <c r="E787" s="24" t="n"/>
      <c r="F787" s="27">
        <f>IF(E787="","",IFERROR(INDEX(Lists!$H$4:$H$40,MATCH(E787,Lists!$F$4:$F$40,0)),"UNMAPPED"))</f>
        <v/>
      </c>
      <c r="G787" s="25" t="n"/>
      <c r="H787" s="25" t="n"/>
      <c r="I787" s="25" t="n"/>
      <c r="J787" s="25" t="n"/>
      <c r="K787" s="25" t="n"/>
      <c r="L787" s="29" t="n"/>
      <c r="M787" s="25" t="n"/>
      <c r="N787" s="30" t="n"/>
      <c r="O787" s="31">
        <f>IF(N787="","",IF(G787="Revenue",ROUND(N787*VATRate,2),0))</f>
        <v/>
      </c>
      <c r="P787" s="31">
        <f>IF(N787="","",N787+O787)</f>
        <v/>
      </c>
    </row>
    <row r="788">
      <c r="A788" s="26" t="n"/>
      <c r="B788" s="27">
        <f>IF(A788="","",IF(OR(A788&lt;MIN(Lists!$C$4:$C$15),A788&gt;MAX(Lists!$D$4:$D$15)),"No period",INDEX(Lists!$B$4:$B$15,MATCH(A788,Lists!$C$4:$C$15,1))))</f>
        <v/>
      </c>
      <c r="C788" s="28">
        <f>IF(B788="","",IFERROR(INDEX(Lists!$A$4:$A$15,MATCH(B788,Lists!$B$4:$B$15,0)),0))</f>
        <v/>
      </c>
      <c r="D788" s="25" t="n"/>
      <c r="E788" s="24" t="n"/>
      <c r="F788" s="27">
        <f>IF(E788="","",IFERROR(INDEX(Lists!$H$4:$H$40,MATCH(E788,Lists!$F$4:$F$40,0)),"UNMAPPED"))</f>
        <v/>
      </c>
      <c r="G788" s="25" t="n"/>
      <c r="H788" s="25" t="n"/>
      <c r="I788" s="25" t="n"/>
      <c r="J788" s="25" t="n"/>
      <c r="K788" s="25" t="n"/>
      <c r="L788" s="29" t="n"/>
      <c r="M788" s="25" t="n"/>
      <c r="N788" s="30" t="n"/>
      <c r="O788" s="31">
        <f>IF(N788="","",IF(G788="Revenue",ROUND(N788*VATRate,2),0))</f>
        <v/>
      </c>
      <c r="P788" s="31">
        <f>IF(N788="","",N788+O788)</f>
        <v/>
      </c>
    </row>
    <row r="789">
      <c r="A789" s="26" t="n"/>
      <c r="B789" s="27">
        <f>IF(A789="","",IF(OR(A789&lt;MIN(Lists!$C$4:$C$15),A789&gt;MAX(Lists!$D$4:$D$15)),"No period",INDEX(Lists!$B$4:$B$15,MATCH(A789,Lists!$C$4:$C$15,1))))</f>
        <v/>
      </c>
      <c r="C789" s="28">
        <f>IF(B789="","",IFERROR(INDEX(Lists!$A$4:$A$15,MATCH(B789,Lists!$B$4:$B$15,0)),0))</f>
        <v/>
      </c>
      <c r="D789" s="25" t="n"/>
      <c r="E789" s="24" t="n"/>
      <c r="F789" s="27">
        <f>IF(E789="","",IFERROR(INDEX(Lists!$H$4:$H$40,MATCH(E789,Lists!$F$4:$F$40,0)),"UNMAPPED"))</f>
        <v/>
      </c>
      <c r="G789" s="25" t="n"/>
      <c r="H789" s="25" t="n"/>
      <c r="I789" s="25" t="n"/>
      <c r="J789" s="25" t="n"/>
      <c r="K789" s="25" t="n"/>
      <c r="L789" s="29" t="n"/>
      <c r="M789" s="25" t="n"/>
      <c r="N789" s="30" t="n"/>
      <c r="O789" s="31">
        <f>IF(N789="","",IF(G789="Revenue",ROUND(N789*VATRate,2),0))</f>
        <v/>
      </c>
      <c r="P789" s="31">
        <f>IF(N789="","",N789+O789)</f>
        <v/>
      </c>
    </row>
    <row r="790">
      <c r="A790" s="26" t="n"/>
      <c r="B790" s="27">
        <f>IF(A790="","",IF(OR(A790&lt;MIN(Lists!$C$4:$C$15),A790&gt;MAX(Lists!$D$4:$D$15)),"No period",INDEX(Lists!$B$4:$B$15,MATCH(A790,Lists!$C$4:$C$15,1))))</f>
        <v/>
      </c>
      <c r="C790" s="28">
        <f>IF(B790="","",IFERROR(INDEX(Lists!$A$4:$A$15,MATCH(B790,Lists!$B$4:$B$15,0)),0))</f>
        <v/>
      </c>
      <c r="D790" s="25" t="n"/>
      <c r="E790" s="24" t="n"/>
      <c r="F790" s="27">
        <f>IF(E790="","",IFERROR(INDEX(Lists!$H$4:$H$40,MATCH(E790,Lists!$F$4:$F$40,0)),"UNMAPPED"))</f>
        <v/>
      </c>
      <c r="G790" s="25" t="n"/>
      <c r="H790" s="25" t="n"/>
      <c r="I790" s="25" t="n"/>
      <c r="J790" s="25" t="n"/>
      <c r="K790" s="25" t="n"/>
      <c r="L790" s="29" t="n"/>
      <c r="M790" s="25" t="n"/>
      <c r="N790" s="30" t="n"/>
      <c r="O790" s="31">
        <f>IF(N790="","",IF(G790="Revenue",ROUND(N790*VATRate,2),0))</f>
        <v/>
      </c>
      <c r="P790" s="31">
        <f>IF(N790="","",N790+O790)</f>
        <v/>
      </c>
    </row>
    <row r="791">
      <c r="A791" s="26" t="n"/>
      <c r="B791" s="27">
        <f>IF(A791="","",IF(OR(A791&lt;MIN(Lists!$C$4:$C$15),A791&gt;MAX(Lists!$D$4:$D$15)),"No period",INDEX(Lists!$B$4:$B$15,MATCH(A791,Lists!$C$4:$C$15,1))))</f>
        <v/>
      </c>
      <c r="C791" s="28">
        <f>IF(B791="","",IFERROR(INDEX(Lists!$A$4:$A$15,MATCH(B791,Lists!$B$4:$B$15,0)),0))</f>
        <v/>
      </c>
      <c r="D791" s="25" t="n"/>
      <c r="E791" s="24" t="n"/>
      <c r="F791" s="27">
        <f>IF(E791="","",IFERROR(INDEX(Lists!$H$4:$H$40,MATCH(E791,Lists!$F$4:$F$40,0)),"UNMAPPED"))</f>
        <v/>
      </c>
      <c r="G791" s="25" t="n"/>
      <c r="H791" s="25" t="n"/>
      <c r="I791" s="25" t="n"/>
      <c r="J791" s="25" t="n"/>
      <c r="K791" s="25" t="n"/>
      <c r="L791" s="29" t="n"/>
      <c r="M791" s="25" t="n"/>
      <c r="N791" s="30" t="n"/>
      <c r="O791" s="31">
        <f>IF(N791="","",IF(G791="Revenue",ROUND(N791*VATRate,2),0))</f>
        <v/>
      </c>
      <c r="P791" s="31">
        <f>IF(N791="","",N791+O791)</f>
        <v/>
      </c>
    </row>
    <row r="792">
      <c r="A792" s="26" t="n"/>
      <c r="B792" s="27">
        <f>IF(A792="","",IF(OR(A792&lt;MIN(Lists!$C$4:$C$15),A792&gt;MAX(Lists!$D$4:$D$15)),"No period",INDEX(Lists!$B$4:$B$15,MATCH(A792,Lists!$C$4:$C$15,1))))</f>
        <v/>
      </c>
      <c r="C792" s="28">
        <f>IF(B792="","",IFERROR(INDEX(Lists!$A$4:$A$15,MATCH(B792,Lists!$B$4:$B$15,0)),0))</f>
        <v/>
      </c>
      <c r="D792" s="25" t="n"/>
      <c r="E792" s="24" t="n"/>
      <c r="F792" s="27">
        <f>IF(E792="","",IFERROR(INDEX(Lists!$H$4:$H$40,MATCH(E792,Lists!$F$4:$F$40,0)),"UNMAPPED"))</f>
        <v/>
      </c>
      <c r="G792" s="25" t="n"/>
      <c r="H792" s="25" t="n"/>
      <c r="I792" s="25" t="n"/>
      <c r="J792" s="25" t="n"/>
      <c r="K792" s="25" t="n"/>
      <c r="L792" s="29" t="n"/>
      <c r="M792" s="25" t="n"/>
      <c r="N792" s="30" t="n"/>
      <c r="O792" s="31">
        <f>IF(N792="","",IF(G792="Revenue",ROUND(N792*VATRate,2),0))</f>
        <v/>
      </c>
      <c r="P792" s="31">
        <f>IF(N792="","",N792+O792)</f>
        <v/>
      </c>
    </row>
    <row r="793">
      <c r="A793" s="26" t="n"/>
      <c r="B793" s="27">
        <f>IF(A793="","",IF(OR(A793&lt;MIN(Lists!$C$4:$C$15),A793&gt;MAX(Lists!$D$4:$D$15)),"No period",INDEX(Lists!$B$4:$B$15,MATCH(A793,Lists!$C$4:$C$15,1))))</f>
        <v/>
      </c>
      <c r="C793" s="28">
        <f>IF(B793="","",IFERROR(INDEX(Lists!$A$4:$A$15,MATCH(B793,Lists!$B$4:$B$15,0)),0))</f>
        <v/>
      </c>
      <c r="D793" s="25" t="n"/>
      <c r="E793" s="24" t="n"/>
      <c r="F793" s="27">
        <f>IF(E793="","",IFERROR(INDEX(Lists!$H$4:$H$40,MATCH(E793,Lists!$F$4:$F$40,0)),"UNMAPPED"))</f>
        <v/>
      </c>
      <c r="G793" s="25" t="n"/>
      <c r="H793" s="25" t="n"/>
      <c r="I793" s="25" t="n"/>
      <c r="J793" s="25" t="n"/>
      <c r="K793" s="25" t="n"/>
      <c r="L793" s="29" t="n"/>
      <c r="M793" s="25" t="n"/>
      <c r="N793" s="30" t="n"/>
      <c r="O793" s="31">
        <f>IF(N793="","",IF(G793="Revenue",ROUND(N793*VATRate,2),0))</f>
        <v/>
      </c>
      <c r="P793" s="31">
        <f>IF(N793="","",N793+O793)</f>
        <v/>
      </c>
    </row>
    <row r="794">
      <c r="A794" s="26" t="n"/>
      <c r="B794" s="27">
        <f>IF(A794="","",IF(OR(A794&lt;MIN(Lists!$C$4:$C$15),A794&gt;MAX(Lists!$D$4:$D$15)),"No period",INDEX(Lists!$B$4:$B$15,MATCH(A794,Lists!$C$4:$C$15,1))))</f>
        <v/>
      </c>
      <c r="C794" s="28">
        <f>IF(B794="","",IFERROR(INDEX(Lists!$A$4:$A$15,MATCH(B794,Lists!$B$4:$B$15,0)),0))</f>
        <v/>
      </c>
      <c r="D794" s="25" t="n"/>
      <c r="E794" s="24" t="n"/>
      <c r="F794" s="27">
        <f>IF(E794="","",IFERROR(INDEX(Lists!$H$4:$H$40,MATCH(E794,Lists!$F$4:$F$40,0)),"UNMAPPED"))</f>
        <v/>
      </c>
      <c r="G794" s="25" t="n"/>
      <c r="H794" s="25" t="n"/>
      <c r="I794" s="25" t="n"/>
      <c r="J794" s="25" t="n"/>
      <c r="K794" s="25" t="n"/>
      <c r="L794" s="29" t="n"/>
      <c r="M794" s="25" t="n"/>
      <c r="N794" s="30" t="n"/>
      <c r="O794" s="31">
        <f>IF(N794="","",IF(G794="Revenue",ROUND(N794*VATRate,2),0))</f>
        <v/>
      </c>
      <c r="P794" s="31">
        <f>IF(N794="","",N794+O794)</f>
        <v/>
      </c>
    </row>
    <row r="795">
      <c r="A795" s="26" t="n"/>
      <c r="B795" s="27">
        <f>IF(A795="","",IF(OR(A795&lt;MIN(Lists!$C$4:$C$15),A795&gt;MAX(Lists!$D$4:$D$15)),"No period",INDEX(Lists!$B$4:$B$15,MATCH(A795,Lists!$C$4:$C$15,1))))</f>
        <v/>
      </c>
      <c r="C795" s="28">
        <f>IF(B795="","",IFERROR(INDEX(Lists!$A$4:$A$15,MATCH(B795,Lists!$B$4:$B$15,0)),0))</f>
        <v/>
      </c>
      <c r="D795" s="25" t="n"/>
      <c r="E795" s="24" t="n"/>
      <c r="F795" s="27">
        <f>IF(E795="","",IFERROR(INDEX(Lists!$H$4:$H$40,MATCH(E795,Lists!$F$4:$F$40,0)),"UNMAPPED"))</f>
        <v/>
      </c>
      <c r="G795" s="25" t="n"/>
      <c r="H795" s="25" t="n"/>
      <c r="I795" s="25" t="n"/>
      <c r="J795" s="25" t="n"/>
      <c r="K795" s="25" t="n"/>
      <c r="L795" s="29" t="n"/>
      <c r="M795" s="25" t="n"/>
      <c r="N795" s="30" t="n"/>
      <c r="O795" s="31">
        <f>IF(N795="","",IF(G795="Revenue",ROUND(N795*VATRate,2),0))</f>
        <v/>
      </c>
      <c r="P795" s="31">
        <f>IF(N795="","",N795+O795)</f>
        <v/>
      </c>
    </row>
    <row r="796">
      <c r="A796" s="26" t="n"/>
      <c r="B796" s="27">
        <f>IF(A796="","",IF(OR(A796&lt;MIN(Lists!$C$4:$C$15),A796&gt;MAX(Lists!$D$4:$D$15)),"No period",INDEX(Lists!$B$4:$B$15,MATCH(A796,Lists!$C$4:$C$15,1))))</f>
        <v/>
      </c>
      <c r="C796" s="28">
        <f>IF(B796="","",IFERROR(INDEX(Lists!$A$4:$A$15,MATCH(B796,Lists!$B$4:$B$15,0)),0))</f>
        <v/>
      </c>
      <c r="D796" s="25" t="n"/>
      <c r="E796" s="24" t="n"/>
      <c r="F796" s="27">
        <f>IF(E796="","",IFERROR(INDEX(Lists!$H$4:$H$40,MATCH(E796,Lists!$F$4:$F$40,0)),"UNMAPPED"))</f>
        <v/>
      </c>
      <c r="G796" s="25" t="n"/>
      <c r="H796" s="25" t="n"/>
      <c r="I796" s="25" t="n"/>
      <c r="J796" s="25" t="n"/>
      <c r="K796" s="25" t="n"/>
      <c r="L796" s="29" t="n"/>
      <c r="M796" s="25" t="n"/>
      <c r="N796" s="30" t="n"/>
      <c r="O796" s="31">
        <f>IF(N796="","",IF(G796="Revenue",ROUND(N796*VATRate,2),0))</f>
        <v/>
      </c>
      <c r="P796" s="31">
        <f>IF(N796="","",N796+O796)</f>
        <v/>
      </c>
    </row>
    <row r="797">
      <c r="A797" s="26" t="n"/>
      <c r="B797" s="27">
        <f>IF(A797="","",IF(OR(A797&lt;MIN(Lists!$C$4:$C$15),A797&gt;MAX(Lists!$D$4:$D$15)),"No period",INDEX(Lists!$B$4:$B$15,MATCH(A797,Lists!$C$4:$C$15,1))))</f>
        <v/>
      </c>
      <c r="C797" s="28">
        <f>IF(B797="","",IFERROR(INDEX(Lists!$A$4:$A$15,MATCH(B797,Lists!$B$4:$B$15,0)),0))</f>
        <v/>
      </c>
      <c r="D797" s="25" t="n"/>
      <c r="E797" s="24" t="n"/>
      <c r="F797" s="27">
        <f>IF(E797="","",IFERROR(INDEX(Lists!$H$4:$H$40,MATCH(E797,Lists!$F$4:$F$40,0)),"UNMAPPED"))</f>
        <v/>
      </c>
      <c r="G797" s="25" t="n"/>
      <c r="H797" s="25" t="n"/>
      <c r="I797" s="25" t="n"/>
      <c r="J797" s="25" t="n"/>
      <c r="K797" s="25" t="n"/>
      <c r="L797" s="29" t="n"/>
      <c r="M797" s="25" t="n"/>
      <c r="N797" s="30" t="n"/>
      <c r="O797" s="31">
        <f>IF(N797="","",IF(G797="Revenue",ROUND(N797*VATRate,2),0))</f>
        <v/>
      </c>
      <c r="P797" s="31">
        <f>IF(N797="","",N797+O797)</f>
        <v/>
      </c>
    </row>
    <row r="798">
      <c r="A798" s="26" t="n"/>
      <c r="B798" s="27">
        <f>IF(A798="","",IF(OR(A798&lt;MIN(Lists!$C$4:$C$15),A798&gt;MAX(Lists!$D$4:$D$15)),"No period",INDEX(Lists!$B$4:$B$15,MATCH(A798,Lists!$C$4:$C$15,1))))</f>
        <v/>
      </c>
      <c r="C798" s="28">
        <f>IF(B798="","",IFERROR(INDEX(Lists!$A$4:$A$15,MATCH(B798,Lists!$B$4:$B$15,0)),0))</f>
        <v/>
      </c>
      <c r="D798" s="25" t="n"/>
      <c r="E798" s="24" t="n"/>
      <c r="F798" s="27">
        <f>IF(E798="","",IFERROR(INDEX(Lists!$H$4:$H$40,MATCH(E798,Lists!$F$4:$F$40,0)),"UNMAPPED"))</f>
        <v/>
      </c>
      <c r="G798" s="25" t="n"/>
      <c r="H798" s="25" t="n"/>
      <c r="I798" s="25" t="n"/>
      <c r="J798" s="25" t="n"/>
      <c r="K798" s="25" t="n"/>
      <c r="L798" s="29" t="n"/>
      <c r="M798" s="25" t="n"/>
      <c r="N798" s="30" t="n"/>
      <c r="O798" s="31">
        <f>IF(N798="","",IF(G798="Revenue",ROUND(N798*VATRate,2),0))</f>
        <v/>
      </c>
      <c r="P798" s="31">
        <f>IF(N798="","",N798+O798)</f>
        <v/>
      </c>
    </row>
    <row r="799">
      <c r="A799" s="26" t="n"/>
      <c r="B799" s="27">
        <f>IF(A799="","",IF(OR(A799&lt;MIN(Lists!$C$4:$C$15),A799&gt;MAX(Lists!$D$4:$D$15)),"No period",INDEX(Lists!$B$4:$B$15,MATCH(A799,Lists!$C$4:$C$15,1))))</f>
        <v/>
      </c>
      <c r="C799" s="28">
        <f>IF(B799="","",IFERROR(INDEX(Lists!$A$4:$A$15,MATCH(B799,Lists!$B$4:$B$15,0)),0))</f>
        <v/>
      </c>
      <c r="D799" s="25" t="n"/>
      <c r="E799" s="24" t="n"/>
      <c r="F799" s="27">
        <f>IF(E799="","",IFERROR(INDEX(Lists!$H$4:$H$40,MATCH(E799,Lists!$F$4:$F$40,0)),"UNMAPPED"))</f>
        <v/>
      </c>
      <c r="G799" s="25" t="n"/>
      <c r="H799" s="25" t="n"/>
      <c r="I799" s="25" t="n"/>
      <c r="J799" s="25" t="n"/>
      <c r="K799" s="25" t="n"/>
      <c r="L799" s="29" t="n"/>
      <c r="M799" s="25" t="n"/>
      <c r="N799" s="30" t="n"/>
      <c r="O799" s="31">
        <f>IF(N799="","",IF(G799="Revenue",ROUND(N799*VATRate,2),0))</f>
        <v/>
      </c>
      <c r="P799" s="31">
        <f>IF(N799="","",N799+O799)</f>
        <v/>
      </c>
    </row>
    <row r="800">
      <c r="A800" s="26" t="n"/>
      <c r="B800" s="27">
        <f>IF(A800="","",IF(OR(A800&lt;MIN(Lists!$C$4:$C$15),A800&gt;MAX(Lists!$D$4:$D$15)),"No period",INDEX(Lists!$B$4:$B$15,MATCH(A800,Lists!$C$4:$C$15,1))))</f>
        <v/>
      </c>
      <c r="C800" s="28">
        <f>IF(B800="","",IFERROR(INDEX(Lists!$A$4:$A$15,MATCH(B800,Lists!$B$4:$B$15,0)),0))</f>
        <v/>
      </c>
      <c r="D800" s="25" t="n"/>
      <c r="E800" s="24" t="n"/>
      <c r="F800" s="27">
        <f>IF(E800="","",IFERROR(INDEX(Lists!$H$4:$H$40,MATCH(E800,Lists!$F$4:$F$40,0)),"UNMAPPED"))</f>
        <v/>
      </c>
      <c r="G800" s="25" t="n"/>
      <c r="H800" s="25" t="n"/>
      <c r="I800" s="25" t="n"/>
      <c r="J800" s="25" t="n"/>
      <c r="K800" s="25" t="n"/>
      <c r="L800" s="29" t="n"/>
      <c r="M800" s="25" t="n"/>
      <c r="N800" s="30" t="n"/>
      <c r="O800" s="31">
        <f>IF(N800="","",IF(G800="Revenue",ROUND(N800*VATRate,2),0))</f>
        <v/>
      </c>
      <c r="P800" s="31">
        <f>IF(N800="","",N800+O800)</f>
        <v/>
      </c>
    </row>
    <row r="801">
      <c r="A801" s="26" t="n"/>
      <c r="B801" s="27">
        <f>IF(A801="","",IF(OR(A801&lt;MIN(Lists!$C$4:$C$15),A801&gt;MAX(Lists!$D$4:$D$15)),"No period",INDEX(Lists!$B$4:$B$15,MATCH(A801,Lists!$C$4:$C$15,1))))</f>
        <v/>
      </c>
      <c r="C801" s="28">
        <f>IF(B801="","",IFERROR(INDEX(Lists!$A$4:$A$15,MATCH(B801,Lists!$B$4:$B$15,0)),0))</f>
        <v/>
      </c>
      <c r="D801" s="25" t="n"/>
      <c r="E801" s="24" t="n"/>
      <c r="F801" s="27">
        <f>IF(E801="","",IFERROR(INDEX(Lists!$H$4:$H$40,MATCH(E801,Lists!$F$4:$F$40,0)),"UNMAPPED"))</f>
        <v/>
      </c>
      <c r="G801" s="25" t="n"/>
      <c r="H801" s="25" t="n"/>
      <c r="I801" s="25" t="n"/>
      <c r="J801" s="25" t="n"/>
      <c r="K801" s="25" t="n"/>
      <c r="L801" s="29" t="n"/>
      <c r="M801" s="25" t="n"/>
      <c r="N801" s="30" t="n"/>
      <c r="O801" s="31">
        <f>IF(N801="","",IF(G801="Revenue",ROUND(N801*VATRate,2),0))</f>
        <v/>
      </c>
      <c r="P801" s="31">
        <f>IF(N801="","",N801+O801)</f>
        <v/>
      </c>
    </row>
    <row r="802">
      <c r="A802" s="26" t="n"/>
      <c r="B802" s="27">
        <f>IF(A802="","",IF(OR(A802&lt;MIN(Lists!$C$4:$C$15),A802&gt;MAX(Lists!$D$4:$D$15)),"No period",INDEX(Lists!$B$4:$B$15,MATCH(A802,Lists!$C$4:$C$15,1))))</f>
        <v/>
      </c>
      <c r="C802" s="28">
        <f>IF(B802="","",IFERROR(INDEX(Lists!$A$4:$A$15,MATCH(B802,Lists!$B$4:$B$15,0)),0))</f>
        <v/>
      </c>
      <c r="D802" s="25" t="n"/>
      <c r="E802" s="24" t="n"/>
      <c r="F802" s="27">
        <f>IF(E802="","",IFERROR(INDEX(Lists!$H$4:$H$40,MATCH(E802,Lists!$F$4:$F$40,0)),"UNMAPPED"))</f>
        <v/>
      </c>
      <c r="G802" s="25" t="n"/>
      <c r="H802" s="25" t="n"/>
      <c r="I802" s="25" t="n"/>
      <c r="J802" s="25" t="n"/>
      <c r="K802" s="25" t="n"/>
      <c r="L802" s="29" t="n"/>
      <c r="M802" s="25" t="n"/>
      <c r="N802" s="30" t="n"/>
      <c r="O802" s="31">
        <f>IF(N802="","",IF(G802="Revenue",ROUND(N802*VATRate,2),0))</f>
        <v/>
      </c>
      <c r="P802" s="31">
        <f>IF(N802="","",N802+O802)</f>
        <v/>
      </c>
    </row>
    <row r="803">
      <c r="A803" s="26" t="n"/>
      <c r="B803" s="27">
        <f>IF(A803="","",IF(OR(A803&lt;MIN(Lists!$C$4:$C$15),A803&gt;MAX(Lists!$D$4:$D$15)),"No period",INDEX(Lists!$B$4:$B$15,MATCH(A803,Lists!$C$4:$C$15,1))))</f>
        <v/>
      </c>
      <c r="C803" s="28">
        <f>IF(B803="","",IFERROR(INDEX(Lists!$A$4:$A$15,MATCH(B803,Lists!$B$4:$B$15,0)),0))</f>
        <v/>
      </c>
      <c r="D803" s="25" t="n"/>
      <c r="E803" s="24" t="n"/>
      <c r="F803" s="27">
        <f>IF(E803="","",IFERROR(INDEX(Lists!$H$4:$H$40,MATCH(E803,Lists!$F$4:$F$40,0)),"UNMAPPED"))</f>
        <v/>
      </c>
      <c r="G803" s="25" t="n"/>
      <c r="H803" s="25" t="n"/>
      <c r="I803" s="25" t="n"/>
      <c r="J803" s="25" t="n"/>
      <c r="K803" s="25" t="n"/>
      <c r="L803" s="29" t="n"/>
      <c r="M803" s="25" t="n"/>
      <c r="N803" s="30" t="n"/>
      <c r="O803" s="31">
        <f>IF(N803="","",IF(G803="Revenue",ROUND(N803*VATRate,2),0))</f>
        <v/>
      </c>
      <c r="P803" s="31">
        <f>IF(N803="","",N803+O803)</f>
        <v/>
      </c>
    </row>
    <row r="804">
      <c r="A804" s="26" t="n"/>
      <c r="B804" s="27">
        <f>IF(A804="","",IF(OR(A804&lt;MIN(Lists!$C$4:$C$15),A804&gt;MAX(Lists!$D$4:$D$15)),"No period",INDEX(Lists!$B$4:$B$15,MATCH(A804,Lists!$C$4:$C$15,1))))</f>
        <v/>
      </c>
      <c r="C804" s="28">
        <f>IF(B804="","",IFERROR(INDEX(Lists!$A$4:$A$15,MATCH(B804,Lists!$B$4:$B$15,0)),0))</f>
        <v/>
      </c>
      <c r="D804" s="25" t="n"/>
      <c r="E804" s="24" t="n"/>
      <c r="F804" s="27">
        <f>IF(E804="","",IFERROR(INDEX(Lists!$H$4:$H$40,MATCH(E804,Lists!$F$4:$F$40,0)),"UNMAPPED"))</f>
        <v/>
      </c>
      <c r="G804" s="25" t="n"/>
      <c r="H804" s="25" t="n"/>
      <c r="I804" s="25" t="n"/>
      <c r="J804" s="25" t="n"/>
      <c r="K804" s="25" t="n"/>
      <c r="L804" s="29" t="n"/>
      <c r="M804" s="25" t="n"/>
      <c r="N804" s="30" t="n"/>
      <c r="O804" s="31">
        <f>IF(N804="","",IF(G804="Revenue",ROUND(N804*VATRate,2),0))</f>
        <v/>
      </c>
      <c r="P804" s="31">
        <f>IF(N804="","",N804+O804)</f>
        <v/>
      </c>
    </row>
    <row r="805">
      <c r="A805" s="26" t="n"/>
      <c r="B805" s="27">
        <f>IF(A805="","",IF(OR(A805&lt;MIN(Lists!$C$4:$C$15),A805&gt;MAX(Lists!$D$4:$D$15)),"No period",INDEX(Lists!$B$4:$B$15,MATCH(A805,Lists!$C$4:$C$15,1))))</f>
        <v/>
      </c>
      <c r="C805" s="28">
        <f>IF(B805="","",IFERROR(INDEX(Lists!$A$4:$A$15,MATCH(B805,Lists!$B$4:$B$15,0)),0))</f>
        <v/>
      </c>
      <c r="D805" s="25" t="n"/>
      <c r="E805" s="24" t="n"/>
      <c r="F805" s="27">
        <f>IF(E805="","",IFERROR(INDEX(Lists!$H$4:$H$40,MATCH(E805,Lists!$F$4:$F$40,0)),"UNMAPPED"))</f>
        <v/>
      </c>
      <c r="G805" s="25" t="n"/>
      <c r="H805" s="25" t="n"/>
      <c r="I805" s="25" t="n"/>
      <c r="J805" s="25" t="n"/>
      <c r="K805" s="25" t="n"/>
      <c r="L805" s="29" t="n"/>
      <c r="M805" s="25" t="n"/>
      <c r="N805" s="30" t="n"/>
      <c r="O805" s="31">
        <f>IF(N805="","",IF(G805="Revenue",ROUND(N805*VATRate,2),0))</f>
        <v/>
      </c>
      <c r="P805" s="31">
        <f>IF(N805="","",N805+O805)</f>
        <v/>
      </c>
    </row>
    <row r="806">
      <c r="A806" s="26" t="n"/>
      <c r="B806" s="27">
        <f>IF(A806="","",IF(OR(A806&lt;MIN(Lists!$C$4:$C$15),A806&gt;MAX(Lists!$D$4:$D$15)),"No period",INDEX(Lists!$B$4:$B$15,MATCH(A806,Lists!$C$4:$C$15,1))))</f>
        <v/>
      </c>
      <c r="C806" s="28">
        <f>IF(B806="","",IFERROR(INDEX(Lists!$A$4:$A$15,MATCH(B806,Lists!$B$4:$B$15,0)),0))</f>
        <v/>
      </c>
      <c r="D806" s="25" t="n"/>
      <c r="E806" s="24" t="n"/>
      <c r="F806" s="27">
        <f>IF(E806="","",IFERROR(INDEX(Lists!$H$4:$H$40,MATCH(E806,Lists!$F$4:$F$40,0)),"UNMAPPED"))</f>
        <v/>
      </c>
      <c r="G806" s="25" t="n"/>
      <c r="H806" s="25" t="n"/>
      <c r="I806" s="25" t="n"/>
      <c r="J806" s="25" t="n"/>
      <c r="K806" s="25" t="n"/>
      <c r="L806" s="29" t="n"/>
      <c r="M806" s="25" t="n"/>
      <c r="N806" s="30" t="n"/>
      <c r="O806" s="31">
        <f>IF(N806="","",IF(G806="Revenue",ROUND(N806*VATRate,2),0))</f>
        <v/>
      </c>
      <c r="P806" s="31">
        <f>IF(N806="","",N806+O806)</f>
        <v/>
      </c>
    </row>
    <row r="807">
      <c r="A807" s="26" t="n"/>
      <c r="B807" s="27">
        <f>IF(A807="","",IF(OR(A807&lt;MIN(Lists!$C$4:$C$15),A807&gt;MAX(Lists!$D$4:$D$15)),"No period",INDEX(Lists!$B$4:$B$15,MATCH(A807,Lists!$C$4:$C$15,1))))</f>
        <v/>
      </c>
      <c r="C807" s="28">
        <f>IF(B807="","",IFERROR(INDEX(Lists!$A$4:$A$15,MATCH(B807,Lists!$B$4:$B$15,0)),0))</f>
        <v/>
      </c>
      <c r="D807" s="25" t="n"/>
      <c r="E807" s="24" t="n"/>
      <c r="F807" s="27">
        <f>IF(E807="","",IFERROR(INDEX(Lists!$H$4:$H$40,MATCH(E807,Lists!$F$4:$F$40,0)),"UNMAPPED"))</f>
        <v/>
      </c>
      <c r="G807" s="25" t="n"/>
      <c r="H807" s="25" t="n"/>
      <c r="I807" s="25" t="n"/>
      <c r="J807" s="25" t="n"/>
      <c r="K807" s="25" t="n"/>
      <c r="L807" s="29" t="n"/>
      <c r="M807" s="25" t="n"/>
      <c r="N807" s="30" t="n"/>
      <c r="O807" s="31">
        <f>IF(N807="","",IF(G807="Revenue",ROUND(N807*VATRate,2),0))</f>
        <v/>
      </c>
      <c r="P807" s="31">
        <f>IF(N807="","",N807+O807)</f>
        <v/>
      </c>
    </row>
    <row r="808">
      <c r="A808" s="26" t="n"/>
      <c r="B808" s="27">
        <f>IF(A808="","",IF(OR(A808&lt;MIN(Lists!$C$4:$C$15),A808&gt;MAX(Lists!$D$4:$D$15)),"No period",INDEX(Lists!$B$4:$B$15,MATCH(A808,Lists!$C$4:$C$15,1))))</f>
        <v/>
      </c>
      <c r="C808" s="28">
        <f>IF(B808="","",IFERROR(INDEX(Lists!$A$4:$A$15,MATCH(B808,Lists!$B$4:$B$15,0)),0))</f>
        <v/>
      </c>
      <c r="D808" s="25" t="n"/>
      <c r="E808" s="24" t="n"/>
      <c r="F808" s="27">
        <f>IF(E808="","",IFERROR(INDEX(Lists!$H$4:$H$40,MATCH(E808,Lists!$F$4:$F$40,0)),"UNMAPPED"))</f>
        <v/>
      </c>
      <c r="G808" s="25" t="n"/>
      <c r="H808" s="25" t="n"/>
      <c r="I808" s="25" t="n"/>
      <c r="J808" s="25" t="n"/>
      <c r="K808" s="25" t="n"/>
      <c r="L808" s="29" t="n"/>
      <c r="M808" s="25" t="n"/>
      <c r="N808" s="30" t="n"/>
      <c r="O808" s="31">
        <f>IF(N808="","",IF(G808="Revenue",ROUND(N808*VATRate,2),0))</f>
        <v/>
      </c>
      <c r="P808" s="31">
        <f>IF(N808="","",N808+O808)</f>
        <v/>
      </c>
    </row>
    <row r="809">
      <c r="A809" s="26" t="n"/>
      <c r="B809" s="27">
        <f>IF(A809="","",IF(OR(A809&lt;MIN(Lists!$C$4:$C$15),A809&gt;MAX(Lists!$D$4:$D$15)),"No period",INDEX(Lists!$B$4:$B$15,MATCH(A809,Lists!$C$4:$C$15,1))))</f>
        <v/>
      </c>
      <c r="C809" s="28">
        <f>IF(B809="","",IFERROR(INDEX(Lists!$A$4:$A$15,MATCH(B809,Lists!$B$4:$B$15,0)),0))</f>
        <v/>
      </c>
      <c r="D809" s="25" t="n"/>
      <c r="E809" s="24" t="n"/>
      <c r="F809" s="27">
        <f>IF(E809="","",IFERROR(INDEX(Lists!$H$4:$H$40,MATCH(E809,Lists!$F$4:$F$40,0)),"UNMAPPED"))</f>
        <v/>
      </c>
      <c r="G809" s="25" t="n"/>
      <c r="H809" s="25" t="n"/>
      <c r="I809" s="25" t="n"/>
      <c r="J809" s="25" t="n"/>
      <c r="K809" s="25" t="n"/>
      <c r="L809" s="29" t="n"/>
      <c r="M809" s="25" t="n"/>
      <c r="N809" s="30" t="n"/>
      <c r="O809" s="31">
        <f>IF(N809="","",IF(G809="Revenue",ROUND(N809*VATRate,2),0))</f>
        <v/>
      </c>
      <c r="P809" s="31">
        <f>IF(N809="","",N809+O809)</f>
        <v/>
      </c>
    </row>
    <row r="810">
      <c r="A810" s="26" t="n"/>
      <c r="B810" s="27">
        <f>IF(A810="","",IF(OR(A810&lt;MIN(Lists!$C$4:$C$15),A810&gt;MAX(Lists!$D$4:$D$15)),"No period",INDEX(Lists!$B$4:$B$15,MATCH(A810,Lists!$C$4:$C$15,1))))</f>
        <v/>
      </c>
      <c r="C810" s="28">
        <f>IF(B810="","",IFERROR(INDEX(Lists!$A$4:$A$15,MATCH(B810,Lists!$B$4:$B$15,0)),0))</f>
        <v/>
      </c>
      <c r="D810" s="25" t="n"/>
      <c r="E810" s="24" t="n"/>
      <c r="F810" s="27">
        <f>IF(E810="","",IFERROR(INDEX(Lists!$H$4:$H$40,MATCH(E810,Lists!$F$4:$F$40,0)),"UNMAPPED"))</f>
        <v/>
      </c>
      <c r="G810" s="25" t="n"/>
      <c r="H810" s="25" t="n"/>
      <c r="I810" s="25" t="n"/>
      <c r="J810" s="25" t="n"/>
      <c r="K810" s="25" t="n"/>
      <c r="L810" s="29" t="n"/>
      <c r="M810" s="25" t="n"/>
      <c r="N810" s="30" t="n"/>
      <c r="O810" s="31">
        <f>IF(N810="","",IF(G810="Revenue",ROUND(N810*VATRate,2),0))</f>
        <v/>
      </c>
      <c r="P810" s="31">
        <f>IF(N810="","",N810+O810)</f>
        <v/>
      </c>
    </row>
    <row r="811">
      <c r="A811" s="26" t="n"/>
      <c r="B811" s="27">
        <f>IF(A811="","",IF(OR(A811&lt;MIN(Lists!$C$4:$C$15),A811&gt;MAX(Lists!$D$4:$D$15)),"No period",INDEX(Lists!$B$4:$B$15,MATCH(A811,Lists!$C$4:$C$15,1))))</f>
        <v/>
      </c>
      <c r="C811" s="28">
        <f>IF(B811="","",IFERROR(INDEX(Lists!$A$4:$A$15,MATCH(B811,Lists!$B$4:$B$15,0)),0))</f>
        <v/>
      </c>
      <c r="D811" s="25" t="n"/>
      <c r="E811" s="24" t="n"/>
      <c r="F811" s="27">
        <f>IF(E811="","",IFERROR(INDEX(Lists!$H$4:$H$40,MATCH(E811,Lists!$F$4:$F$40,0)),"UNMAPPED"))</f>
        <v/>
      </c>
      <c r="G811" s="25" t="n"/>
      <c r="H811" s="25" t="n"/>
      <c r="I811" s="25" t="n"/>
      <c r="J811" s="25" t="n"/>
      <c r="K811" s="25" t="n"/>
      <c r="L811" s="29" t="n"/>
      <c r="M811" s="25" t="n"/>
      <c r="N811" s="30" t="n"/>
      <c r="O811" s="31">
        <f>IF(N811="","",IF(G811="Revenue",ROUND(N811*VATRate,2),0))</f>
        <v/>
      </c>
      <c r="P811" s="31">
        <f>IF(N811="","",N811+O811)</f>
        <v/>
      </c>
    </row>
    <row r="812">
      <c r="A812" s="26" t="n"/>
      <c r="B812" s="27">
        <f>IF(A812="","",IF(OR(A812&lt;MIN(Lists!$C$4:$C$15),A812&gt;MAX(Lists!$D$4:$D$15)),"No period",INDEX(Lists!$B$4:$B$15,MATCH(A812,Lists!$C$4:$C$15,1))))</f>
        <v/>
      </c>
      <c r="C812" s="28">
        <f>IF(B812="","",IFERROR(INDEX(Lists!$A$4:$A$15,MATCH(B812,Lists!$B$4:$B$15,0)),0))</f>
        <v/>
      </c>
      <c r="D812" s="25" t="n"/>
      <c r="E812" s="24" t="n"/>
      <c r="F812" s="27">
        <f>IF(E812="","",IFERROR(INDEX(Lists!$H$4:$H$40,MATCH(E812,Lists!$F$4:$F$40,0)),"UNMAPPED"))</f>
        <v/>
      </c>
      <c r="G812" s="25" t="n"/>
      <c r="H812" s="25" t="n"/>
      <c r="I812" s="25" t="n"/>
      <c r="J812" s="25" t="n"/>
      <c r="K812" s="25" t="n"/>
      <c r="L812" s="29" t="n"/>
      <c r="M812" s="25" t="n"/>
      <c r="N812" s="30" t="n"/>
      <c r="O812" s="31">
        <f>IF(N812="","",IF(G812="Revenue",ROUND(N812*VATRate,2),0))</f>
        <v/>
      </c>
      <c r="P812" s="31">
        <f>IF(N812="","",N812+O812)</f>
        <v/>
      </c>
    </row>
    <row r="813">
      <c r="A813" s="26" t="n"/>
      <c r="B813" s="27">
        <f>IF(A813="","",IF(OR(A813&lt;MIN(Lists!$C$4:$C$15),A813&gt;MAX(Lists!$D$4:$D$15)),"No period",INDEX(Lists!$B$4:$B$15,MATCH(A813,Lists!$C$4:$C$15,1))))</f>
        <v/>
      </c>
      <c r="C813" s="28">
        <f>IF(B813="","",IFERROR(INDEX(Lists!$A$4:$A$15,MATCH(B813,Lists!$B$4:$B$15,0)),0))</f>
        <v/>
      </c>
      <c r="D813" s="25" t="n"/>
      <c r="E813" s="24" t="n"/>
      <c r="F813" s="27">
        <f>IF(E813="","",IFERROR(INDEX(Lists!$H$4:$H$40,MATCH(E813,Lists!$F$4:$F$40,0)),"UNMAPPED"))</f>
        <v/>
      </c>
      <c r="G813" s="25" t="n"/>
      <c r="H813" s="25" t="n"/>
      <c r="I813" s="25" t="n"/>
      <c r="J813" s="25" t="n"/>
      <c r="K813" s="25" t="n"/>
      <c r="L813" s="29" t="n"/>
      <c r="M813" s="25" t="n"/>
      <c r="N813" s="30" t="n"/>
      <c r="O813" s="31">
        <f>IF(N813="","",IF(G813="Revenue",ROUND(N813*VATRate,2),0))</f>
        <v/>
      </c>
      <c r="P813" s="31">
        <f>IF(N813="","",N813+O813)</f>
        <v/>
      </c>
    </row>
    <row r="814">
      <c r="A814" s="26" t="n"/>
      <c r="B814" s="27">
        <f>IF(A814="","",IF(OR(A814&lt;MIN(Lists!$C$4:$C$15),A814&gt;MAX(Lists!$D$4:$D$15)),"No period",INDEX(Lists!$B$4:$B$15,MATCH(A814,Lists!$C$4:$C$15,1))))</f>
        <v/>
      </c>
      <c r="C814" s="28">
        <f>IF(B814="","",IFERROR(INDEX(Lists!$A$4:$A$15,MATCH(B814,Lists!$B$4:$B$15,0)),0))</f>
        <v/>
      </c>
      <c r="D814" s="25" t="n"/>
      <c r="E814" s="24" t="n"/>
      <c r="F814" s="27">
        <f>IF(E814="","",IFERROR(INDEX(Lists!$H$4:$H$40,MATCH(E814,Lists!$F$4:$F$40,0)),"UNMAPPED"))</f>
        <v/>
      </c>
      <c r="G814" s="25" t="n"/>
      <c r="H814" s="25" t="n"/>
      <c r="I814" s="25" t="n"/>
      <c r="J814" s="25" t="n"/>
      <c r="K814" s="25" t="n"/>
      <c r="L814" s="29" t="n"/>
      <c r="M814" s="25" t="n"/>
      <c r="N814" s="30" t="n"/>
      <c r="O814" s="31">
        <f>IF(N814="","",IF(G814="Revenue",ROUND(N814*VATRate,2),0))</f>
        <v/>
      </c>
      <c r="P814" s="31">
        <f>IF(N814="","",N814+O814)</f>
        <v/>
      </c>
    </row>
    <row r="815">
      <c r="A815" s="26" t="n"/>
      <c r="B815" s="27">
        <f>IF(A815="","",IF(OR(A815&lt;MIN(Lists!$C$4:$C$15),A815&gt;MAX(Lists!$D$4:$D$15)),"No period",INDEX(Lists!$B$4:$B$15,MATCH(A815,Lists!$C$4:$C$15,1))))</f>
        <v/>
      </c>
      <c r="C815" s="28">
        <f>IF(B815="","",IFERROR(INDEX(Lists!$A$4:$A$15,MATCH(B815,Lists!$B$4:$B$15,0)),0))</f>
        <v/>
      </c>
      <c r="D815" s="25" t="n"/>
      <c r="E815" s="24" t="n"/>
      <c r="F815" s="27">
        <f>IF(E815="","",IFERROR(INDEX(Lists!$H$4:$H$40,MATCH(E815,Lists!$F$4:$F$40,0)),"UNMAPPED"))</f>
        <v/>
      </c>
      <c r="G815" s="25" t="n"/>
      <c r="H815" s="25" t="n"/>
      <c r="I815" s="25" t="n"/>
      <c r="J815" s="25" t="n"/>
      <c r="K815" s="25" t="n"/>
      <c r="L815" s="29" t="n"/>
      <c r="M815" s="25" t="n"/>
      <c r="N815" s="30" t="n"/>
      <c r="O815" s="31">
        <f>IF(N815="","",IF(G815="Revenue",ROUND(N815*VATRate,2),0))</f>
        <v/>
      </c>
      <c r="P815" s="31">
        <f>IF(N815="","",N815+O815)</f>
        <v/>
      </c>
    </row>
    <row r="816">
      <c r="A816" s="26" t="n"/>
      <c r="B816" s="27">
        <f>IF(A816="","",IF(OR(A816&lt;MIN(Lists!$C$4:$C$15),A816&gt;MAX(Lists!$D$4:$D$15)),"No period",INDEX(Lists!$B$4:$B$15,MATCH(A816,Lists!$C$4:$C$15,1))))</f>
        <v/>
      </c>
      <c r="C816" s="28">
        <f>IF(B816="","",IFERROR(INDEX(Lists!$A$4:$A$15,MATCH(B816,Lists!$B$4:$B$15,0)),0))</f>
        <v/>
      </c>
      <c r="D816" s="25" t="n"/>
      <c r="E816" s="24" t="n"/>
      <c r="F816" s="27">
        <f>IF(E816="","",IFERROR(INDEX(Lists!$H$4:$H$40,MATCH(E816,Lists!$F$4:$F$40,0)),"UNMAPPED"))</f>
        <v/>
      </c>
      <c r="G816" s="25" t="n"/>
      <c r="H816" s="25" t="n"/>
      <c r="I816" s="25" t="n"/>
      <c r="J816" s="25" t="n"/>
      <c r="K816" s="25" t="n"/>
      <c r="L816" s="29" t="n"/>
      <c r="M816" s="25" t="n"/>
      <c r="N816" s="30" t="n"/>
      <c r="O816" s="31">
        <f>IF(N816="","",IF(G816="Revenue",ROUND(N816*VATRate,2),0))</f>
        <v/>
      </c>
      <c r="P816" s="31">
        <f>IF(N816="","",N816+O816)</f>
        <v/>
      </c>
    </row>
    <row r="817">
      <c r="A817" s="26" t="n"/>
      <c r="B817" s="27">
        <f>IF(A817="","",IF(OR(A817&lt;MIN(Lists!$C$4:$C$15),A817&gt;MAX(Lists!$D$4:$D$15)),"No period",INDEX(Lists!$B$4:$B$15,MATCH(A817,Lists!$C$4:$C$15,1))))</f>
        <v/>
      </c>
      <c r="C817" s="28">
        <f>IF(B817="","",IFERROR(INDEX(Lists!$A$4:$A$15,MATCH(B817,Lists!$B$4:$B$15,0)),0))</f>
        <v/>
      </c>
      <c r="D817" s="25" t="n"/>
      <c r="E817" s="24" t="n"/>
      <c r="F817" s="27">
        <f>IF(E817="","",IFERROR(INDEX(Lists!$H$4:$H$40,MATCH(E817,Lists!$F$4:$F$40,0)),"UNMAPPED"))</f>
        <v/>
      </c>
      <c r="G817" s="25" t="n"/>
      <c r="H817" s="25" t="n"/>
      <c r="I817" s="25" t="n"/>
      <c r="J817" s="25" t="n"/>
      <c r="K817" s="25" t="n"/>
      <c r="L817" s="29" t="n"/>
      <c r="M817" s="25" t="n"/>
      <c r="N817" s="30" t="n"/>
      <c r="O817" s="31">
        <f>IF(N817="","",IF(G817="Revenue",ROUND(N817*VATRate,2),0))</f>
        <v/>
      </c>
      <c r="P817" s="31">
        <f>IF(N817="","",N817+O817)</f>
        <v/>
      </c>
    </row>
    <row r="818">
      <c r="A818" s="26" t="n"/>
      <c r="B818" s="27">
        <f>IF(A818="","",IF(OR(A818&lt;MIN(Lists!$C$4:$C$15),A818&gt;MAX(Lists!$D$4:$D$15)),"No period",INDEX(Lists!$B$4:$B$15,MATCH(A818,Lists!$C$4:$C$15,1))))</f>
        <v/>
      </c>
      <c r="C818" s="28">
        <f>IF(B818="","",IFERROR(INDEX(Lists!$A$4:$A$15,MATCH(B818,Lists!$B$4:$B$15,0)),0))</f>
        <v/>
      </c>
      <c r="D818" s="25" t="n"/>
      <c r="E818" s="24" t="n"/>
      <c r="F818" s="27">
        <f>IF(E818="","",IFERROR(INDEX(Lists!$H$4:$H$40,MATCH(E818,Lists!$F$4:$F$40,0)),"UNMAPPED"))</f>
        <v/>
      </c>
      <c r="G818" s="25" t="n"/>
      <c r="H818" s="25" t="n"/>
      <c r="I818" s="25" t="n"/>
      <c r="J818" s="25" t="n"/>
      <c r="K818" s="25" t="n"/>
      <c r="L818" s="29" t="n"/>
      <c r="M818" s="25" t="n"/>
      <c r="N818" s="30" t="n"/>
      <c r="O818" s="31">
        <f>IF(N818="","",IF(G818="Revenue",ROUND(N818*VATRate,2),0))</f>
        <v/>
      </c>
      <c r="P818" s="31">
        <f>IF(N818="","",N818+O818)</f>
        <v/>
      </c>
    </row>
    <row r="819">
      <c r="A819" s="26" t="n"/>
      <c r="B819" s="27">
        <f>IF(A819="","",IF(OR(A819&lt;MIN(Lists!$C$4:$C$15),A819&gt;MAX(Lists!$D$4:$D$15)),"No period",INDEX(Lists!$B$4:$B$15,MATCH(A819,Lists!$C$4:$C$15,1))))</f>
        <v/>
      </c>
      <c r="C819" s="28">
        <f>IF(B819="","",IFERROR(INDEX(Lists!$A$4:$A$15,MATCH(B819,Lists!$B$4:$B$15,0)),0))</f>
        <v/>
      </c>
      <c r="D819" s="25" t="n"/>
      <c r="E819" s="24" t="n"/>
      <c r="F819" s="27">
        <f>IF(E819="","",IFERROR(INDEX(Lists!$H$4:$H$40,MATCH(E819,Lists!$F$4:$F$40,0)),"UNMAPPED"))</f>
        <v/>
      </c>
      <c r="G819" s="25" t="n"/>
      <c r="H819" s="25" t="n"/>
      <c r="I819" s="25" t="n"/>
      <c r="J819" s="25" t="n"/>
      <c r="K819" s="25" t="n"/>
      <c r="L819" s="29" t="n"/>
      <c r="M819" s="25" t="n"/>
      <c r="N819" s="30" t="n"/>
      <c r="O819" s="31">
        <f>IF(N819="","",IF(G819="Revenue",ROUND(N819*VATRate,2),0))</f>
        <v/>
      </c>
      <c r="P819" s="31">
        <f>IF(N819="","",N819+O819)</f>
        <v/>
      </c>
    </row>
    <row r="820">
      <c r="A820" s="26" t="n"/>
      <c r="B820" s="27">
        <f>IF(A820="","",IF(OR(A820&lt;MIN(Lists!$C$4:$C$15),A820&gt;MAX(Lists!$D$4:$D$15)),"No period",INDEX(Lists!$B$4:$B$15,MATCH(A820,Lists!$C$4:$C$15,1))))</f>
        <v/>
      </c>
      <c r="C820" s="28">
        <f>IF(B820="","",IFERROR(INDEX(Lists!$A$4:$A$15,MATCH(B820,Lists!$B$4:$B$15,0)),0))</f>
        <v/>
      </c>
      <c r="D820" s="25" t="n"/>
      <c r="E820" s="24" t="n"/>
      <c r="F820" s="27">
        <f>IF(E820="","",IFERROR(INDEX(Lists!$H$4:$H$40,MATCH(E820,Lists!$F$4:$F$40,0)),"UNMAPPED"))</f>
        <v/>
      </c>
      <c r="G820" s="25" t="n"/>
      <c r="H820" s="25" t="n"/>
      <c r="I820" s="25" t="n"/>
      <c r="J820" s="25" t="n"/>
      <c r="K820" s="25" t="n"/>
      <c r="L820" s="29" t="n"/>
      <c r="M820" s="25" t="n"/>
      <c r="N820" s="30" t="n"/>
      <c r="O820" s="31">
        <f>IF(N820="","",IF(G820="Revenue",ROUND(N820*VATRate,2),0))</f>
        <v/>
      </c>
      <c r="P820" s="31">
        <f>IF(N820="","",N820+O820)</f>
        <v/>
      </c>
    </row>
    <row r="821">
      <c r="A821" s="26" t="n"/>
      <c r="B821" s="27">
        <f>IF(A821="","",IF(OR(A821&lt;MIN(Lists!$C$4:$C$15),A821&gt;MAX(Lists!$D$4:$D$15)),"No period",INDEX(Lists!$B$4:$B$15,MATCH(A821,Lists!$C$4:$C$15,1))))</f>
        <v/>
      </c>
      <c r="C821" s="28">
        <f>IF(B821="","",IFERROR(INDEX(Lists!$A$4:$A$15,MATCH(B821,Lists!$B$4:$B$15,0)),0))</f>
        <v/>
      </c>
      <c r="D821" s="25" t="n"/>
      <c r="E821" s="24" t="n"/>
      <c r="F821" s="27">
        <f>IF(E821="","",IFERROR(INDEX(Lists!$H$4:$H$40,MATCH(E821,Lists!$F$4:$F$40,0)),"UNMAPPED"))</f>
        <v/>
      </c>
      <c r="G821" s="25" t="n"/>
      <c r="H821" s="25" t="n"/>
      <c r="I821" s="25" t="n"/>
      <c r="J821" s="25" t="n"/>
      <c r="K821" s="25" t="n"/>
      <c r="L821" s="29" t="n"/>
      <c r="M821" s="25" t="n"/>
      <c r="N821" s="30" t="n"/>
      <c r="O821" s="31">
        <f>IF(N821="","",IF(G821="Revenue",ROUND(N821*VATRate,2),0))</f>
        <v/>
      </c>
      <c r="P821" s="31">
        <f>IF(N821="","",N821+O821)</f>
        <v/>
      </c>
    </row>
    <row r="822">
      <c r="A822" s="26" t="n"/>
      <c r="B822" s="27">
        <f>IF(A822="","",IF(OR(A822&lt;MIN(Lists!$C$4:$C$15),A822&gt;MAX(Lists!$D$4:$D$15)),"No period",INDEX(Lists!$B$4:$B$15,MATCH(A822,Lists!$C$4:$C$15,1))))</f>
        <v/>
      </c>
      <c r="C822" s="28">
        <f>IF(B822="","",IFERROR(INDEX(Lists!$A$4:$A$15,MATCH(B822,Lists!$B$4:$B$15,0)),0))</f>
        <v/>
      </c>
      <c r="D822" s="25" t="n"/>
      <c r="E822" s="24" t="n"/>
      <c r="F822" s="27">
        <f>IF(E822="","",IFERROR(INDEX(Lists!$H$4:$H$40,MATCH(E822,Lists!$F$4:$F$40,0)),"UNMAPPED"))</f>
        <v/>
      </c>
      <c r="G822" s="25" t="n"/>
      <c r="H822" s="25" t="n"/>
      <c r="I822" s="25" t="n"/>
      <c r="J822" s="25" t="n"/>
      <c r="K822" s="25" t="n"/>
      <c r="L822" s="29" t="n"/>
      <c r="M822" s="25" t="n"/>
      <c r="N822" s="30" t="n"/>
      <c r="O822" s="31">
        <f>IF(N822="","",IF(G822="Revenue",ROUND(N822*VATRate,2),0))</f>
        <v/>
      </c>
      <c r="P822" s="31">
        <f>IF(N822="","",N822+O822)</f>
        <v/>
      </c>
    </row>
    <row r="823">
      <c r="A823" s="26" t="n"/>
      <c r="B823" s="27">
        <f>IF(A823="","",IF(OR(A823&lt;MIN(Lists!$C$4:$C$15),A823&gt;MAX(Lists!$D$4:$D$15)),"No period",INDEX(Lists!$B$4:$B$15,MATCH(A823,Lists!$C$4:$C$15,1))))</f>
        <v/>
      </c>
      <c r="C823" s="28">
        <f>IF(B823="","",IFERROR(INDEX(Lists!$A$4:$A$15,MATCH(B823,Lists!$B$4:$B$15,0)),0))</f>
        <v/>
      </c>
      <c r="D823" s="25" t="n"/>
      <c r="E823" s="24" t="n"/>
      <c r="F823" s="27">
        <f>IF(E823="","",IFERROR(INDEX(Lists!$H$4:$H$40,MATCH(E823,Lists!$F$4:$F$40,0)),"UNMAPPED"))</f>
        <v/>
      </c>
      <c r="G823" s="25" t="n"/>
      <c r="H823" s="25" t="n"/>
      <c r="I823" s="25" t="n"/>
      <c r="J823" s="25" t="n"/>
      <c r="K823" s="25" t="n"/>
      <c r="L823" s="29" t="n"/>
      <c r="M823" s="25" t="n"/>
      <c r="N823" s="30" t="n"/>
      <c r="O823" s="31">
        <f>IF(N823="","",IF(G823="Revenue",ROUND(N823*VATRate,2),0))</f>
        <v/>
      </c>
      <c r="P823" s="31">
        <f>IF(N823="","",N823+O823)</f>
        <v/>
      </c>
    </row>
    <row r="824">
      <c r="A824" s="26" t="n"/>
      <c r="B824" s="27">
        <f>IF(A824="","",IF(OR(A824&lt;MIN(Lists!$C$4:$C$15),A824&gt;MAX(Lists!$D$4:$D$15)),"No period",INDEX(Lists!$B$4:$B$15,MATCH(A824,Lists!$C$4:$C$15,1))))</f>
        <v/>
      </c>
      <c r="C824" s="28">
        <f>IF(B824="","",IFERROR(INDEX(Lists!$A$4:$A$15,MATCH(B824,Lists!$B$4:$B$15,0)),0))</f>
        <v/>
      </c>
      <c r="D824" s="25" t="n"/>
      <c r="E824" s="24" t="n"/>
      <c r="F824" s="27">
        <f>IF(E824="","",IFERROR(INDEX(Lists!$H$4:$H$40,MATCH(E824,Lists!$F$4:$F$40,0)),"UNMAPPED"))</f>
        <v/>
      </c>
      <c r="G824" s="25" t="n"/>
      <c r="H824" s="25" t="n"/>
      <c r="I824" s="25" t="n"/>
      <c r="J824" s="25" t="n"/>
      <c r="K824" s="25" t="n"/>
      <c r="L824" s="29" t="n"/>
      <c r="M824" s="25" t="n"/>
      <c r="N824" s="30" t="n"/>
      <c r="O824" s="31">
        <f>IF(N824="","",IF(G824="Revenue",ROUND(N824*VATRate,2),0))</f>
        <v/>
      </c>
      <c r="P824" s="31">
        <f>IF(N824="","",N824+O824)</f>
        <v/>
      </c>
    </row>
    <row r="825">
      <c r="A825" s="26" t="n"/>
      <c r="B825" s="27">
        <f>IF(A825="","",IF(OR(A825&lt;MIN(Lists!$C$4:$C$15),A825&gt;MAX(Lists!$D$4:$D$15)),"No period",INDEX(Lists!$B$4:$B$15,MATCH(A825,Lists!$C$4:$C$15,1))))</f>
        <v/>
      </c>
      <c r="C825" s="28">
        <f>IF(B825="","",IFERROR(INDEX(Lists!$A$4:$A$15,MATCH(B825,Lists!$B$4:$B$15,0)),0))</f>
        <v/>
      </c>
      <c r="D825" s="25" t="n"/>
      <c r="E825" s="24" t="n"/>
      <c r="F825" s="27">
        <f>IF(E825="","",IFERROR(INDEX(Lists!$H$4:$H$40,MATCH(E825,Lists!$F$4:$F$40,0)),"UNMAPPED"))</f>
        <v/>
      </c>
      <c r="G825" s="25" t="n"/>
      <c r="H825" s="25" t="n"/>
      <c r="I825" s="25" t="n"/>
      <c r="J825" s="25" t="n"/>
      <c r="K825" s="25" t="n"/>
      <c r="L825" s="29" t="n"/>
      <c r="M825" s="25" t="n"/>
      <c r="N825" s="30" t="n"/>
      <c r="O825" s="31">
        <f>IF(N825="","",IF(G825="Revenue",ROUND(N825*VATRate,2),0))</f>
        <v/>
      </c>
      <c r="P825" s="31">
        <f>IF(N825="","",N825+O825)</f>
        <v/>
      </c>
    </row>
    <row r="826">
      <c r="A826" s="26" t="n"/>
      <c r="B826" s="27">
        <f>IF(A826="","",IF(OR(A826&lt;MIN(Lists!$C$4:$C$15),A826&gt;MAX(Lists!$D$4:$D$15)),"No period",INDEX(Lists!$B$4:$B$15,MATCH(A826,Lists!$C$4:$C$15,1))))</f>
        <v/>
      </c>
      <c r="C826" s="28">
        <f>IF(B826="","",IFERROR(INDEX(Lists!$A$4:$A$15,MATCH(B826,Lists!$B$4:$B$15,0)),0))</f>
        <v/>
      </c>
      <c r="D826" s="25" t="n"/>
      <c r="E826" s="24" t="n"/>
      <c r="F826" s="27">
        <f>IF(E826="","",IFERROR(INDEX(Lists!$H$4:$H$40,MATCH(E826,Lists!$F$4:$F$40,0)),"UNMAPPED"))</f>
        <v/>
      </c>
      <c r="G826" s="25" t="n"/>
      <c r="H826" s="25" t="n"/>
      <c r="I826" s="25" t="n"/>
      <c r="J826" s="25" t="n"/>
      <c r="K826" s="25" t="n"/>
      <c r="L826" s="29" t="n"/>
      <c r="M826" s="25" t="n"/>
      <c r="N826" s="30" t="n"/>
      <c r="O826" s="31">
        <f>IF(N826="","",IF(G826="Revenue",ROUND(N826*VATRate,2),0))</f>
        <v/>
      </c>
      <c r="P826" s="31">
        <f>IF(N826="","",N826+O826)</f>
        <v/>
      </c>
    </row>
    <row r="827">
      <c r="A827" s="26" t="n"/>
      <c r="B827" s="27">
        <f>IF(A827="","",IF(OR(A827&lt;MIN(Lists!$C$4:$C$15),A827&gt;MAX(Lists!$D$4:$D$15)),"No period",INDEX(Lists!$B$4:$B$15,MATCH(A827,Lists!$C$4:$C$15,1))))</f>
        <v/>
      </c>
      <c r="C827" s="28">
        <f>IF(B827="","",IFERROR(INDEX(Lists!$A$4:$A$15,MATCH(B827,Lists!$B$4:$B$15,0)),0))</f>
        <v/>
      </c>
      <c r="D827" s="25" t="n"/>
      <c r="E827" s="24" t="n"/>
      <c r="F827" s="27">
        <f>IF(E827="","",IFERROR(INDEX(Lists!$H$4:$H$40,MATCH(E827,Lists!$F$4:$F$40,0)),"UNMAPPED"))</f>
        <v/>
      </c>
      <c r="G827" s="25" t="n"/>
      <c r="H827" s="25" t="n"/>
      <c r="I827" s="25" t="n"/>
      <c r="J827" s="25" t="n"/>
      <c r="K827" s="25" t="n"/>
      <c r="L827" s="29" t="n"/>
      <c r="M827" s="25" t="n"/>
      <c r="N827" s="30" t="n"/>
      <c r="O827" s="31">
        <f>IF(N827="","",IF(G827="Revenue",ROUND(N827*VATRate,2),0))</f>
        <v/>
      </c>
      <c r="P827" s="31">
        <f>IF(N827="","",N827+O827)</f>
        <v/>
      </c>
    </row>
    <row r="828">
      <c r="A828" s="26" t="n"/>
      <c r="B828" s="27">
        <f>IF(A828="","",IF(OR(A828&lt;MIN(Lists!$C$4:$C$15),A828&gt;MAX(Lists!$D$4:$D$15)),"No period",INDEX(Lists!$B$4:$B$15,MATCH(A828,Lists!$C$4:$C$15,1))))</f>
        <v/>
      </c>
      <c r="C828" s="28">
        <f>IF(B828="","",IFERROR(INDEX(Lists!$A$4:$A$15,MATCH(B828,Lists!$B$4:$B$15,0)),0))</f>
        <v/>
      </c>
      <c r="D828" s="25" t="n"/>
      <c r="E828" s="24" t="n"/>
      <c r="F828" s="27">
        <f>IF(E828="","",IFERROR(INDEX(Lists!$H$4:$H$40,MATCH(E828,Lists!$F$4:$F$40,0)),"UNMAPPED"))</f>
        <v/>
      </c>
      <c r="G828" s="25" t="n"/>
      <c r="H828" s="25" t="n"/>
      <c r="I828" s="25" t="n"/>
      <c r="J828" s="25" t="n"/>
      <c r="K828" s="25" t="n"/>
      <c r="L828" s="29" t="n"/>
      <c r="M828" s="25" t="n"/>
      <c r="N828" s="30" t="n"/>
      <c r="O828" s="31">
        <f>IF(N828="","",IF(G828="Revenue",ROUND(N828*VATRate,2),0))</f>
        <v/>
      </c>
      <c r="P828" s="31">
        <f>IF(N828="","",N828+O828)</f>
        <v/>
      </c>
    </row>
    <row r="829">
      <c r="A829" s="26" t="n"/>
      <c r="B829" s="27">
        <f>IF(A829="","",IF(OR(A829&lt;MIN(Lists!$C$4:$C$15),A829&gt;MAX(Lists!$D$4:$D$15)),"No period",INDEX(Lists!$B$4:$B$15,MATCH(A829,Lists!$C$4:$C$15,1))))</f>
        <v/>
      </c>
      <c r="C829" s="28">
        <f>IF(B829="","",IFERROR(INDEX(Lists!$A$4:$A$15,MATCH(B829,Lists!$B$4:$B$15,0)),0))</f>
        <v/>
      </c>
      <c r="D829" s="25" t="n"/>
      <c r="E829" s="24" t="n"/>
      <c r="F829" s="27">
        <f>IF(E829="","",IFERROR(INDEX(Lists!$H$4:$H$40,MATCH(E829,Lists!$F$4:$F$40,0)),"UNMAPPED"))</f>
        <v/>
      </c>
      <c r="G829" s="25" t="n"/>
      <c r="H829" s="25" t="n"/>
      <c r="I829" s="25" t="n"/>
      <c r="J829" s="25" t="n"/>
      <c r="K829" s="25" t="n"/>
      <c r="L829" s="29" t="n"/>
      <c r="M829" s="25" t="n"/>
      <c r="N829" s="30" t="n"/>
      <c r="O829" s="31">
        <f>IF(N829="","",IF(G829="Revenue",ROUND(N829*VATRate,2),0))</f>
        <v/>
      </c>
      <c r="P829" s="31">
        <f>IF(N829="","",N829+O829)</f>
        <v/>
      </c>
    </row>
    <row r="830">
      <c r="A830" s="26" t="n"/>
      <c r="B830" s="27">
        <f>IF(A830="","",IF(OR(A830&lt;MIN(Lists!$C$4:$C$15),A830&gt;MAX(Lists!$D$4:$D$15)),"No period",INDEX(Lists!$B$4:$B$15,MATCH(A830,Lists!$C$4:$C$15,1))))</f>
        <v/>
      </c>
      <c r="C830" s="28">
        <f>IF(B830="","",IFERROR(INDEX(Lists!$A$4:$A$15,MATCH(B830,Lists!$B$4:$B$15,0)),0))</f>
        <v/>
      </c>
      <c r="D830" s="25" t="n"/>
      <c r="E830" s="24" t="n"/>
      <c r="F830" s="27">
        <f>IF(E830="","",IFERROR(INDEX(Lists!$H$4:$H$40,MATCH(E830,Lists!$F$4:$F$40,0)),"UNMAPPED"))</f>
        <v/>
      </c>
      <c r="G830" s="25" t="n"/>
      <c r="H830" s="25" t="n"/>
      <c r="I830" s="25" t="n"/>
      <c r="J830" s="25" t="n"/>
      <c r="K830" s="25" t="n"/>
      <c r="L830" s="29" t="n"/>
      <c r="M830" s="25" t="n"/>
      <c r="N830" s="30" t="n"/>
      <c r="O830" s="31">
        <f>IF(N830="","",IF(G830="Revenue",ROUND(N830*VATRate,2),0))</f>
        <v/>
      </c>
      <c r="P830" s="31">
        <f>IF(N830="","",N830+O830)</f>
        <v/>
      </c>
    </row>
    <row r="831">
      <c r="A831" s="26" t="n"/>
      <c r="B831" s="27">
        <f>IF(A831="","",IF(OR(A831&lt;MIN(Lists!$C$4:$C$15),A831&gt;MAX(Lists!$D$4:$D$15)),"No period",INDEX(Lists!$B$4:$B$15,MATCH(A831,Lists!$C$4:$C$15,1))))</f>
        <v/>
      </c>
      <c r="C831" s="28">
        <f>IF(B831="","",IFERROR(INDEX(Lists!$A$4:$A$15,MATCH(B831,Lists!$B$4:$B$15,0)),0))</f>
        <v/>
      </c>
      <c r="D831" s="25" t="n"/>
      <c r="E831" s="24" t="n"/>
      <c r="F831" s="27">
        <f>IF(E831="","",IFERROR(INDEX(Lists!$H$4:$H$40,MATCH(E831,Lists!$F$4:$F$40,0)),"UNMAPPED"))</f>
        <v/>
      </c>
      <c r="G831" s="25" t="n"/>
      <c r="H831" s="25" t="n"/>
      <c r="I831" s="25" t="n"/>
      <c r="J831" s="25" t="n"/>
      <c r="K831" s="25" t="n"/>
      <c r="L831" s="29" t="n"/>
      <c r="M831" s="25" t="n"/>
      <c r="N831" s="30" t="n"/>
      <c r="O831" s="31">
        <f>IF(N831="","",IF(G831="Revenue",ROUND(N831*VATRate,2),0))</f>
        <v/>
      </c>
      <c r="P831" s="31">
        <f>IF(N831="","",N831+O831)</f>
        <v/>
      </c>
    </row>
    <row r="832">
      <c r="A832" s="26" t="n"/>
      <c r="B832" s="27">
        <f>IF(A832="","",IF(OR(A832&lt;MIN(Lists!$C$4:$C$15),A832&gt;MAX(Lists!$D$4:$D$15)),"No period",INDEX(Lists!$B$4:$B$15,MATCH(A832,Lists!$C$4:$C$15,1))))</f>
        <v/>
      </c>
      <c r="C832" s="28">
        <f>IF(B832="","",IFERROR(INDEX(Lists!$A$4:$A$15,MATCH(B832,Lists!$B$4:$B$15,0)),0))</f>
        <v/>
      </c>
      <c r="D832" s="25" t="n"/>
      <c r="E832" s="24" t="n"/>
      <c r="F832" s="27">
        <f>IF(E832="","",IFERROR(INDEX(Lists!$H$4:$H$40,MATCH(E832,Lists!$F$4:$F$40,0)),"UNMAPPED"))</f>
        <v/>
      </c>
      <c r="G832" s="25" t="n"/>
      <c r="H832" s="25" t="n"/>
      <c r="I832" s="25" t="n"/>
      <c r="J832" s="25" t="n"/>
      <c r="K832" s="25" t="n"/>
      <c r="L832" s="29" t="n"/>
      <c r="M832" s="25" t="n"/>
      <c r="N832" s="30" t="n"/>
      <c r="O832" s="31">
        <f>IF(N832="","",IF(G832="Revenue",ROUND(N832*VATRate,2),0))</f>
        <v/>
      </c>
      <c r="P832" s="31">
        <f>IF(N832="","",N832+O832)</f>
        <v/>
      </c>
    </row>
    <row r="833">
      <c r="A833" s="26" t="n"/>
      <c r="B833" s="27">
        <f>IF(A833="","",IF(OR(A833&lt;MIN(Lists!$C$4:$C$15),A833&gt;MAX(Lists!$D$4:$D$15)),"No period",INDEX(Lists!$B$4:$B$15,MATCH(A833,Lists!$C$4:$C$15,1))))</f>
        <v/>
      </c>
      <c r="C833" s="28">
        <f>IF(B833="","",IFERROR(INDEX(Lists!$A$4:$A$15,MATCH(B833,Lists!$B$4:$B$15,0)),0))</f>
        <v/>
      </c>
      <c r="D833" s="25" t="n"/>
      <c r="E833" s="24" t="n"/>
      <c r="F833" s="27">
        <f>IF(E833="","",IFERROR(INDEX(Lists!$H$4:$H$40,MATCH(E833,Lists!$F$4:$F$40,0)),"UNMAPPED"))</f>
        <v/>
      </c>
      <c r="G833" s="25" t="n"/>
      <c r="H833" s="25" t="n"/>
      <c r="I833" s="25" t="n"/>
      <c r="J833" s="25" t="n"/>
      <c r="K833" s="25" t="n"/>
      <c r="L833" s="29" t="n"/>
      <c r="M833" s="25" t="n"/>
      <c r="N833" s="30" t="n"/>
      <c r="O833" s="31">
        <f>IF(N833="","",IF(G833="Revenue",ROUND(N833*VATRate,2),0))</f>
        <v/>
      </c>
      <c r="P833" s="31">
        <f>IF(N833="","",N833+O833)</f>
        <v/>
      </c>
    </row>
    <row r="834">
      <c r="A834" s="26" t="n"/>
      <c r="B834" s="27">
        <f>IF(A834="","",IF(OR(A834&lt;MIN(Lists!$C$4:$C$15),A834&gt;MAX(Lists!$D$4:$D$15)),"No period",INDEX(Lists!$B$4:$B$15,MATCH(A834,Lists!$C$4:$C$15,1))))</f>
        <v/>
      </c>
      <c r="C834" s="28">
        <f>IF(B834="","",IFERROR(INDEX(Lists!$A$4:$A$15,MATCH(B834,Lists!$B$4:$B$15,0)),0))</f>
        <v/>
      </c>
      <c r="D834" s="25" t="n"/>
      <c r="E834" s="24" t="n"/>
      <c r="F834" s="27">
        <f>IF(E834="","",IFERROR(INDEX(Lists!$H$4:$H$40,MATCH(E834,Lists!$F$4:$F$40,0)),"UNMAPPED"))</f>
        <v/>
      </c>
      <c r="G834" s="25" t="n"/>
      <c r="H834" s="25" t="n"/>
      <c r="I834" s="25" t="n"/>
      <c r="J834" s="25" t="n"/>
      <c r="K834" s="25" t="n"/>
      <c r="L834" s="29" t="n"/>
      <c r="M834" s="25" t="n"/>
      <c r="N834" s="30" t="n"/>
      <c r="O834" s="31">
        <f>IF(N834="","",IF(G834="Revenue",ROUND(N834*VATRate,2),0))</f>
        <v/>
      </c>
      <c r="P834" s="31">
        <f>IF(N834="","",N834+O834)</f>
        <v/>
      </c>
    </row>
    <row r="835">
      <c r="A835" s="26" t="n"/>
      <c r="B835" s="27">
        <f>IF(A835="","",IF(OR(A835&lt;MIN(Lists!$C$4:$C$15),A835&gt;MAX(Lists!$D$4:$D$15)),"No period",INDEX(Lists!$B$4:$B$15,MATCH(A835,Lists!$C$4:$C$15,1))))</f>
        <v/>
      </c>
      <c r="C835" s="28">
        <f>IF(B835="","",IFERROR(INDEX(Lists!$A$4:$A$15,MATCH(B835,Lists!$B$4:$B$15,0)),0))</f>
        <v/>
      </c>
      <c r="D835" s="25" t="n"/>
      <c r="E835" s="24" t="n"/>
      <c r="F835" s="27">
        <f>IF(E835="","",IFERROR(INDEX(Lists!$H$4:$H$40,MATCH(E835,Lists!$F$4:$F$40,0)),"UNMAPPED"))</f>
        <v/>
      </c>
      <c r="G835" s="25" t="n"/>
      <c r="H835" s="25" t="n"/>
      <c r="I835" s="25" t="n"/>
      <c r="J835" s="25" t="n"/>
      <c r="K835" s="25" t="n"/>
      <c r="L835" s="29" t="n"/>
      <c r="M835" s="25" t="n"/>
      <c r="N835" s="30" t="n"/>
      <c r="O835" s="31">
        <f>IF(N835="","",IF(G835="Revenue",ROUND(N835*VATRate,2),0))</f>
        <v/>
      </c>
      <c r="P835" s="31">
        <f>IF(N835="","",N835+O835)</f>
        <v/>
      </c>
    </row>
    <row r="836">
      <c r="A836" s="26" t="n"/>
      <c r="B836" s="27">
        <f>IF(A836="","",IF(OR(A836&lt;MIN(Lists!$C$4:$C$15),A836&gt;MAX(Lists!$D$4:$D$15)),"No period",INDEX(Lists!$B$4:$B$15,MATCH(A836,Lists!$C$4:$C$15,1))))</f>
        <v/>
      </c>
      <c r="C836" s="28">
        <f>IF(B836="","",IFERROR(INDEX(Lists!$A$4:$A$15,MATCH(B836,Lists!$B$4:$B$15,0)),0))</f>
        <v/>
      </c>
      <c r="D836" s="25" t="n"/>
      <c r="E836" s="24" t="n"/>
      <c r="F836" s="27">
        <f>IF(E836="","",IFERROR(INDEX(Lists!$H$4:$H$40,MATCH(E836,Lists!$F$4:$F$40,0)),"UNMAPPED"))</f>
        <v/>
      </c>
      <c r="G836" s="25" t="n"/>
      <c r="H836" s="25" t="n"/>
      <c r="I836" s="25" t="n"/>
      <c r="J836" s="25" t="n"/>
      <c r="K836" s="25" t="n"/>
      <c r="L836" s="29" t="n"/>
      <c r="M836" s="25" t="n"/>
      <c r="N836" s="30" t="n"/>
      <c r="O836" s="31">
        <f>IF(N836="","",IF(G836="Revenue",ROUND(N836*VATRate,2),0))</f>
        <v/>
      </c>
      <c r="P836" s="31">
        <f>IF(N836="","",N836+O836)</f>
        <v/>
      </c>
    </row>
    <row r="837">
      <c r="A837" s="26" t="n"/>
      <c r="B837" s="27">
        <f>IF(A837="","",IF(OR(A837&lt;MIN(Lists!$C$4:$C$15),A837&gt;MAX(Lists!$D$4:$D$15)),"No period",INDEX(Lists!$B$4:$B$15,MATCH(A837,Lists!$C$4:$C$15,1))))</f>
        <v/>
      </c>
      <c r="C837" s="28">
        <f>IF(B837="","",IFERROR(INDEX(Lists!$A$4:$A$15,MATCH(B837,Lists!$B$4:$B$15,0)),0))</f>
        <v/>
      </c>
      <c r="D837" s="25" t="n"/>
      <c r="E837" s="24" t="n"/>
      <c r="F837" s="27">
        <f>IF(E837="","",IFERROR(INDEX(Lists!$H$4:$H$40,MATCH(E837,Lists!$F$4:$F$40,0)),"UNMAPPED"))</f>
        <v/>
      </c>
      <c r="G837" s="25" t="n"/>
      <c r="H837" s="25" t="n"/>
      <c r="I837" s="25" t="n"/>
      <c r="J837" s="25" t="n"/>
      <c r="K837" s="25" t="n"/>
      <c r="L837" s="29" t="n"/>
      <c r="M837" s="25" t="n"/>
      <c r="N837" s="30" t="n"/>
      <c r="O837" s="31">
        <f>IF(N837="","",IF(G837="Revenue",ROUND(N837*VATRate,2),0))</f>
        <v/>
      </c>
      <c r="P837" s="31">
        <f>IF(N837="","",N837+O837)</f>
        <v/>
      </c>
    </row>
    <row r="838">
      <c r="A838" s="26" t="n"/>
      <c r="B838" s="27">
        <f>IF(A838="","",IF(OR(A838&lt;MIN(Lists!$C$4:$C$15),A838&gt;MAX(Lists!$D$4:$D$15)),"No period",INDEX(Lists!$B$4:$B$15,MATCH(A838,Lists!$C$4:$C$15,1))))</f>
        <v/>
      </c>
      <c r="C838" s="28">
        <f>IF(B838="","",IFERROR(INDEX(Lists!$A$4:$A$15,MATCH(B838,Lists!$B$4:$B$15,0)),0))</f>
        <v/>
      </c>
      <c r="D838" s="25" t="n"/>
      <c r="E838" s="24" t="n"/>
      <c r="F838" s="27">
        <f>IF(E838="","",IFERROR(INDEX(Lists!$H$4:$H$40,MATCH(E838,Lists!$F$4:$F$40,0)),"UNMAPPED"))</f>
        <v/>
      </c>
      <c r="G838" s="25" t="n"/>
      <c r="H838" s="25" t="n"/>
      <c r="I838" s="25" t="n"/>
      <c r="J838" s="25" t="n"/>
      <c r="K838" s="25" t="n"/>
      <c r="L838" s="29" t="n"/>
      <c r="M838" s="25" t="n"/>
      <c r="N838" s="30" t="n"/>
      <c r="O838" s="31">
        <f>IF(N838="","",IF(G838="Revenue",ROUND(N838*VATRate,2),0))</f>
        <v/>
      </c>
      <c r="P838" s="31">
        <f>IF(N838="","",N838+O838)</f>
        <v/>
      </c>
    </row>
    <row r="839">
      <c r="A839" s="26" t="n"/>
      <c r="B839" s="27">
        <f>IF(A839="","",IF(OR(A839&lt;MIN(Lists!$C$4:$C$15),A839&gt;MAX(Lists!$D$4:$D$15)),"No period",INDEX(Lists!$B$4:$B$15,MATCH(A839,Lists!$C$4:$C$15,1))))</f>
        <v/>
      </c>
      <c r="C839" s="28">
        <f>IF(B839="","",IFERROR(INDEX(Lists!$A$4:$A$15,MATCH(B839,Lists!$B$4:$B$15,0)),0))</f>
        <v/>
      </c>
      <c r="D839" s="25" t="n"/>
      <c r="E839" s="24" t="n"/>
      <c r="F839" s="27">
        <f>IF(E839="","",IFERROR(INDEX(Lists!$H$4:$H$40,MATCH(E839,Lists!$F$4:$F$40,0)),"UNMAPPED"))</f>
        <v/>
      </c>
      <c r="G839" s="25" t="n"/>
      <c r="H839" s="25" t="n"/>
      <c r="I839" s="25" t="n"/>
      <c r="J839" s="25" t="n"/>
      <c r="K839" s="25" t="n"/>
      <c r="L839" s="29" t="n"/>
      <c r="M839" s="25" t="n"/>
      <c r="N839" s="30" t="n"/>
      <c r="O839" s="31">
        <f>IF(N839="","",IF(G839="Revenue",ROUND(N839*VATRate,2),0))</f>
        <v/>
      </c>
      <c r="P839" s="31">
        <f>IF(N839="","",N839+O839)</f>
        <v/>
      </c>
    </row>
    <row r="840">
      <c r="A840" s="26" t="n"/>
      <c r="B840" s="27">
        <f>IF(A840="","",IF(OR(A840&lt;MIN(Lists!$C$4:$C$15),A840&gt;MAX(Lists!$D$4:$D$15)),"No period",INDEX(Lists!$B$4:$B$15,MATCH(A840,Lists!$C$4:$C$15,1))))</f>
        <v/>
      </c>
      <c r="C840" s="28">
        <f>IF(B840="","",IFERROR(INDEX(Lists!$A$4:$A$15,MATCH(B840,Lists!$B$4:$B$15,0)),0))</f>
        <v/>
      </c>
      <c r="D840" s="25" t="n"/>
      <c r="E840" s="24" t="n"/>
      <c r="F840" s="27">
        <f>IF(E840="","",IFERROR(INDEX(Lists!$H$4:$H$40,MATCH(E840,Lists!$F$4:$F$40,0)),"UNMAPPED"))</f>
        <v/>
      </c>
      <c r="G840" s="25" t="n"/>
      <c r="H840" s="25" t="n"/>
      <c r="I840" s="25" t="n"/>
      <c r="J840" s="25" t="n"/>
      <c r="K840" s="25" t="n"/>
      <c r="L840" s="29" t="n"/>
      <c r="M840" s="25" t="n"/>
      <c r="N840" s="30" t="n"/>
      <c r="O840" s="31">
        <f>IF(N840="","",IF(G840="Revenue",ROUND(N840*VATRate,2),0))</f>
        <v/>
      </c>
      <c r="P840" s="31">
        <f>IF(N840="","",N840+O840)</f>
        <v/>
      </c>
    </row>
    <row r="841">
      <c r="A841" s="26" t="n"/>
      <c r="B841" s="27">
        <f>IF(A841="","",IF(OR(A841&lt;MIN(Lists!$C$4:$C$15),A841&gt;MAX(Lists!$D$4:$D$15)),"No period",INDEX(Lists!$B$4:$B$15,MATCH(A841,Lists!$C$4:$C$15,1))))</f>
        <v/>
      </c>
      <c r="C841" s="28">
        <f>IF(B841="","",IFERROR(INDEX(Lists!$A$4:$A$15,MATCH(B841,Lists!$B$4:$B$15,0)),0))</f>
        <v/>
      </c>
      <c r="D841" s="25" t="n"/>
      <c r="E841" s="24" t="n"/>
      <c r="F841" s="27">
        <f>IF(E841="","",IFERROR(INDEX(Lists!$H$4:$H$40,MATCH(E841,Lists!$F$4:$F$40,0)),"UNMAPPED"))</f>
        <v/>
      </c>
      <c r="G841" s="25" t="n"/>
      <c r="H841" s="25" t="n"/>
      <c r="I841" s="25" t="n"/>
      <c r="J841" s="25" t="n"/>
      <c r="K841" s="25" t="n"/>
      <c r="L841" s="29" t="n"/>
      <c r="M841" s="25" t="n"/>
      <c r="N841" s="30" t="n"/>
      <c r="O841" s="31">
        <f>IF(N841="","",IF(G841="Revenue",ROUND(N841*VATRate,2),0))</f>
        <v/>
      </c>
      <c r="P841" s="31">
        <f>IF(N841="","",N841+O841)</f>
        <v/>
      </c>
    </row>
    <row r="842">
      <c r="A842" s="26" t="n"/>
      <c r="B842" s="27">
        <f>IF(A842="","",IF(OR(A842&lt;MIN(Lists!$C$4:$C$15),A842&gt;MAX(Lists!$D$4:$D$15)),"No period",INDEX(Lists!$B$4:$B$15,MATCH(A842,Lists!$C$4:$C$15,1))))</f>
        <v/>
      </c>
      <c r="C842" s="28">
        <f>IF(B842="","",IFERROR(INDEX(Lists!$A$4:$A$15,MATCH(B842,Lists!$B$4:$B$15,0)),0))</f>
        <v/>
      </c>
      <c r="D842" s="25" t="n"/>
      <c r="E842" s="24" t="n"/>
      <c r="F842" s="27">
        <f>IF(E842="","",IFERROR(INDEX(Lists!$H$4:$H$40,MATCH(E842,Lists!$F$4:$F$40,0)),"UNMAPPED"))</f>
        <v/>
      </c>
      <c r="G842" s="25" t="n"/>
      <c r="H842" s="25" t="n"/>
      <c r="I842" s="25" t="n"/>
      <c r="J842" s="25" t="n"/>
      <c r="K842" s="25" t="n"/>
      <c r="L842" s="29" t="n"/>
      <c r="M842" s="25" t="n"/>
      <c r="N842" s="30" t="n"/>
      <c r="O842" s="31">
        <f>IF(N842="","",IF(G842="Revenue",ROUND(N842*VATRate,2),0))</f>
        <v/>
      </c>
      <c r="P842" s="31">
        <f>IF(N842="","",N842+O842)</f>
        <v/>
      </c>
    </row>
    <row r="843">
      <c r="A843" s="26" t="n"/>
      <c r="B843" s="27">
        <f>IF(A843="","",IF(OR(A843&lt;MIN(Lists!$C$4:$C$15),A843&gt;MAX(Lists!$D$4:$D$15)),"No period",INDEX(Lists!$B$4:$B$15,MATCH(A843,Lists!$C$4:$C$15,1))))</f>
        <v/>
      </c>
      <c r="C843" s="28">
        <f>IF(B843="","",IFERROR(INDEX(Lists!$A$4:$A$15,MATCH(B843,Lists!$B$4:$B$15,0)),0))</f>
        <v/>
      </c>
      <c r="D843" s="25" t="n"/>
      <c r="E843" s="24" t="n"/>
      <c r="F843" s="27">
        <f>IF(E843="","",IFERROR(INDEX(Lists!$H$4:$H$40,MATCH(E843,Lists!$F$4:$F$40,0)),"UNMAPPED"))</f>
        <v/>
      </c>
      <c r="G843" s="25" t="n"/>
      <c r="H843" s="25" t="n"/>
      <c r="I843" s="25" t="n"/>
      <c r="J843" s="25" t="n"/>
      <c r="K843" s="25" t="n"/>
      <c r="L843" s="29" t="n"/>
      <c r="M843" s="25" t="n"/>
      <c r="N843" s="30" t="n"/>
      <c r="O843" s="31">
        <f>IF(N843="","",IF(G843="Revenue",ROUND(N843*VATRate,2),0))</f>
        <v/>
      </c>
      <c r="P843" s="31">
        <f>IF(N843="","",N843+O843)</f>
        <v/>
      </c>
    </row>
    <row r="844">
      <c r="A844" s="26" t="n"/>
      <c r="B844" s="27">
        <f>IF(A844="","",IF(OR(A844&lt;MIN(Lists!$C$4:$C$15),A844&gt;MAX(Lists!$D$4:$D$15)),"No period",INDEX(Lists!$B$4:$B$15,MATCH(A844,Lists!$C$4:$C$15,1))))</f>
        <v/>
      </c>
      <c r="C844" s="28">
        <f>IF(B844="","",IFERROR(INDEX(Lists!$A$4:$A$15,MATCH(B844,Lists!$B$4:$B$15,0)),0))</f>
        <v/>
      </c>
      <c r="D844" s="25" t="n"/>
      <c r="E844" s="24" t="n"/>
      <c r="F844" s="27">
        <f>IF(E844="","",IFERROR(INDEX(Lists!$H$4:$H$40,MATCH(E844,Lists!$F$4:$F$40,0)),"UNMAPPED"))</f>
        <v/>
      </c>
      <c r="G844" s="25" t="n"/>
      <c r="H844" s="25" t="n"/>
      <c r="I844" s="25" t="n"/>
      <c r="J844" s="25" t="n"/>
      <c r="K844" s="25" t="n"/>
      <c r="L844" s="29" t="n"/>
      <c r="M844" s="25" t="n"/>
      <c r="N844" s="30" t="n"/>
      <c r="O844" s="31">
        <f>IF(N844="","",IF(G844="Revenue",ROUND(N844*VATRate,2),0))</f>
        <v/>
      </c>
      <c r="P844" s="31">
        <f>IF(N844="","",N844+O844)</f>
        <v/>
      </c>
    </row>
    <row r="845">
      <c r="A845" s="26" t="n"/>
      <c r="B845" s="27">
        <f>IF(A845="","",IF(OR(A845&lt;MIN(Lists!$C$4:$C$15),A845&gt;MAX(Lists!$D$4:$D$15)),"No period",INDEX(Lists!$B$4:$B$15,MATCH(A845,Lists!$C$4:$C$15,1))))</f>
        <v/>
      </c>
      <c r="C845" s="28">
        <f>IF(B845="","",IFERROR(INDEX(Lists!$A$4:$A$15,MATCH(B845,Lists!$B$4:$B$15,0)),0))</f>
        <v/>
      </c>
      <c r="D845" s="25" t="n"/>
      <c r="E845" s="24" t="n"/>
      <c r="F845" s="27">
        <f>IF(E845="","",IFERROR(INDEX(Lists!$H$4:$H$40,MATCH(E845,Lists!$F$4:$F$40,0)),"UNMAPPED"))</f>
        <v/>
      </c>
      <c r="G845" s="25" t="n"/>
      <c r="H845" s="25" t="n"/>
      <c r="I845" s="25" t="n"/>
      <c r="J845" s="25" t="n"/>
      <c r="K845" s="25" t="n"/>
      <c r="L845" s="29" t="n"/>
      <c r="M845" s="25" t="n"/>
      <c r="N845" s="30" t="n"/>
      <c r="O845" s="31">
        <f>IF(N845="","",IF(G845="Revenue",ROUND(N845*VATRate,2),0))</f>
        <v/>
      </c>
      <c r="P845" s="31">
        <f>IF(N845="","",N845+O845)</f>
        <v/>
      </c>
    </row>
    <row r="846">
      <c r="A846" s="26" t="n"/>
      <c r="B846" s="27">
        <f>IF(A846="","",IF(OR(A846&lt;MIN(Lists!$C$4:$C$15),A846&gt;MAX(Lists!$D$4:$D$15)),"No period",INDEX(Lists!$B$4:$B$15,MATCH(A846,Lists!$C$4:$C$15,1))))</f>
        <v/>
      </c>
      <c r="C846" s="28">
        <f>IF(B846="","",IFERROR(INDEX(Lists!$A$4:$A$15,MATCH(B846,Lists!$B$4:$B$15,0)),0))</f>
        <v/>
      </c>
      <c r="D846" s="25" t="n"/>
      <c r="E846" s="24" t="n"/>
      <c r="F846" s="27">
        <f>IF(E846="","",IFERROR(INDEX(Lists!$H$4:$H$40,MATCH(E846,Lists!$F$4:$F$40,0)),"UNMAPPED"))</f>
        <v/>
      </c>
      <c r="G846" s="25" t="n"/>
      <c r="H846" s="25" t="n"/>
      <c r="I846" s="25" t="n"/>
      <c r="J846" s="25" t="n"/>
      <c r="K846" s="25" t="n"/>
      <c r="L846" s="29" t="n"/>
      <c r="M846" s="25" t="n"/>
      <c r="N846" s="30" t="n"/>
      <c r="O846" s="31">
        <f>IF(N846="","",IF(G846="Revenue",ROUND(N846*VATRate,2),0))</f>
        <v/>
      </c>
      <c r="P846" s="31">
        <f>IF(N846="","",N846+O846)</f>
        <v/>
      </c>
    </row>
    <row r="847">
      <c r="A847" s="26" t="n"/>
      <c r="B847" s="27">
        <f>IF(A847="","",IF(OR(A847&lt;MIN(Lists!$C$4:$C$15),A847&gt;MAX(Lists!$D$4:$D$15)),"No period",INDEX(Lists!$B$4:$B$15,MATCH(A847,Lists!$C$4:$C$15,1))))</f>
        <v/>
      </c>
      <c r="C847" s="28">
        <f>IF(B847="","",IFERROR(INDEX(Lists!$A$4:$A$15,MATCH(B847,Lists!$B$4:$B$15,0)),0))</f>
        <v/>
      </c>
      <c r="D847" s="25" t="n"/>
      <c r="E847" s="24" t="n"/>
      <c r="F847" s="27">
        <f>IF(E847="","",IFERROR(INDEX(Lists!$H$4:$H$40,MATCH(E847,Lists!$F$4:$F$40,0)),"UNMAPPED"))</f>
        <v/>
      </c>
      <c r="G847" s="25" t="n"/>
      <c r="H847" s="25" t="n"/>
      <c r="I847" s="25" t="n"/>
      <c r="J847" s="25" t="n"/>
      <c r="K847" s="25" t="n"/>
      <c r="L847" s="29" t="n"/>
      <c r="M847" s="25" t="n"/>
      <c r="N847" s="30" t="n"/>
      <c r="O847" s="31">
        <f>IF(N847="","",IF(G847="Revenue",ROUND(N847*VATRate,2),0))</f>
        <v/>
      </c>
      <c r="P847" s="31">
        <f>IF(N847="","",N847+O847)</f>
        <v/>
      </c>
    </row>
    <row r="848">
      <c r="A848" s="26" t="n"/>
      <c r="B848" s="27">
        <f>IF(A848="","",IF(OR(A848&lt;MIN(Lists!$C$4:$C$15),A848&gt;MAX(Lists!$D$4:$D$15)),"No period",INDEX(Lists!$B$4:$B$15,MATCH(A848,Lists!$C$4:$C$15,1))))</f>
        <v/>
      </c>
      <c r="C848" s="28">
        <f>IF(B848="","",IFERROR(INDEX(Lists!$A$4:$A$15,MATCH(B848,Lists!$B$4:$B$15,0)),0))</f>
        <v/>
      </c>
      <c r="D848" s="25" t="n"/>
      <c r="E848" s="24" t="n"/>
      <c r="F848" s="27">
        <f>IF(E848="","",IFERROR(INDEX(Lists!$H$4:$H$40,MATCH(E848,Lists!$F$4:$F$40,0)),"UNMAPPED"))</f>
        <v/>
      </c>
      <c r="G848" s="25" t="n"/>
      <c r="H848" s="25" t="n"/>
      <c r="I848" s="25" t="n"/>
      <c r="J848" s="25" t="n"/>
      <c r="K848" s="25" t="n"/>
      <c r="L848" s="29" t="n"/>
      <c r="M848" s="25" t="n"/>
      <c r="N848" s="30" t="n"/>
      <c r="O848" s="31">
        <f>IF(N848="","",IF(G848="Revenue",ROUND(N848*VATRate,2),0))</f>
        <v/>
      </c>
      <c r="P848" s="31">
        <f>IF(N848="","",N848+O848)</f>
        <v/>
      </c>
    </row>
    <row r="849">
      <c r="A849" s="26" t="n"/>
      <c r="B849" s="27">
        <f>IF(A849="","",IF(OR(A849&lt;MIN(Lists!$C$4:$C$15),A849&gt;MAX(Lists!$D$4:$D$15)),"No period",INDEX(Lists!$B$4:$B$15,MATCH(A849,Lists!$C$4:$C$15,1))))</f>
        <v/>
      </c>
      <c r="C849" s="28">
        <f>IF(B849="","",IFERROR(INDEX(Lists!$A$4:$A$15,MATCH(B849,Lists!$B$4:$B$15,0)),0))</f>
        <v/>
      </c>
      <c r="D849" s="25" t="n"/>
      <c r="E849" s="24" t="n"/>
      <c r="F849" s="27">
        <f>IF(E849="","",IFERROR(INDEX(Lists!$H$4:$H$40,MATCH(E849,Lists!$F$4:$F$40,0)),"UNMAPPED"))</f>
        <v/>
      </c>
      <c r="G849" s="25" t="n"/>
      <c r="H849" s="25" t="n"/>
      <c r="I849" s="25" t="n"/>
      <c r="J849" s="25" t="n"/>
      <c r="K849" s="25" t="n"/>
      <c r="L849" s="29" t="n"/>
      <c r="M849" s="25" t="n"/>
      <c r="N849" s="30" t="n"/>
      <c r="O849" s="31">
        <f>IF(N849="","",IF(G849="Revenue",ROUND(N849*VATRate,2),0))</f>
        <v/>
      </c>
      <c r="P849" s="31">
        <f>IF(N849="","",N849+O849)</f>
        <v/>
      </c>
    </row>
    <row r="850">
      <c r="A850" s="26" t="n"/>
      <c r="B850" s="27">
        <f>IF(A850="","",IF(OR(A850&lt;MIN(Lists!$C$4:$C$15),A850&gt;MAX(Lists!$D$4:$D$15)),"No period",INDEX(Lists!$B$4:$B$15,MATCH(A850,Lists!$C$4:$C$15,1))))</f>
        <v/>
      </c>
      <c r="C850" s="28">
        <f>IF(B850="","",IFERROR(INDEX(Lists!$A$4:$A$15,MATCH(B850,Lists!$B$4:$B$15,0)),0))</f>
        <v/>
      </c>
      <c r="D850" s="25" t="n"/>
      <c r="E850" s="24" t="n"/>
      <c r="F850" s="27">
        <f>IF(E850="","",IFERROR(INDEX(Lists!$H$4:$H$40,MATCH(E850,Lists!$F$4:$F$40,0)),"UNMAPPED"))</f>
        <v/>
      </c>
      <c r="G850" s="25" t="n"/>
      <c r="H850" s="25" t="n"/>
      <c r="I850" s="25" t="n"/>
      <c r="J850" s="25" t="n"/>
      <c r="K850" s="25" t="n"/>
      <c r="L850" s="29" t="n"/>
      <c r="M850" s="25" t="n"/>
      <c r="N850" s="30" t="n"/>
      <c r="O850" s="31">
        <f>IF(N850="","",IF(G850="Revenue",ROUND(N850*VATRate,2),0))</f>
        <v/>
      </c>
      <c r="P850" s="31">
        <f>IF(N850="","",N850+O850)</f>
        <v/>
      </c>
    </row>
    <row r="851">
      <c r="A851" s="26" t="n"/>
      <c r="B851" s="27">
        <f>IF(A851="","",IF(OR(A851&lt;MIN(Lists!$C$4:$C$15),A851&gt;MAX(Lists!$D$4:$D$15)),"No period",INDEX(Lists!$B$4:$B$15,MATCH(A851,Lists!$C$4:$C$15,1))))</f>
        <v/>
      </c>
      <c r="C851" s="28">
        <f>IF(B851="","",IFERROR(INDEX(Lists!$A$4:$A$15,MATCH(B851,Lists!$B$4:$B$15,0)),0))</f>
        <v/>
      </c>
      <c r="D851" s="25" t="n"/>
      <c r="E851" s="24" t="n"/>
      <c r="F851" s="27">
        <f>IF(E851="","",IFERROR(INDEX(Lists!$H$4:$H$40,MATCH(E851,Lists!$F$4:$F$40,0)),"UNMAPPED"))</f>
        <v/>
      </c>
      <c r="G851" s="25" t="n"/>
      <c r="H851" s="25" t="n"/>
      <c r="I851" s="25" t="n"/>
      <c r="J851" s="25" t="n"/>
      <c r="K851" s="25" t="n"/>
      <c r="L851" s="29" t="n"/>
      <c r="M851" s="25" t="n"/>
      <c r="N851" s="30" t="n"/>
      <c r="O851" s="31">
        <f>IF(N851="","",IF(G851="Revenue",ROUND(N851*VATRate,2),0))</f>
        <v/>
      </c>
      <c r="P851" s="31">
        <f>IF(N851="","",N851+O851)</f>
        <v/>
      </c>
    </row>
    <row r="852">
      <c r="A852" s="26" t="n"/>
      <c r="B852" s="27">
        <f>IF(A852="","",IF(OR(A852&lt;MIN(Lists!$C$4:$C$15),A852&gt;MAX(Lists!$D$4:$D$15)),"No period",INDEX(Lists!$B$4:$B$15,MATCH(A852,Lists!$C$4:$C$15,1))))</f>
        <v/>
      </c>
      <c r="C852" s="28">
        <f>IF(B852="","",IFERROR(INDEX(Lists!$A$4:$A$15,MATCH(B852,Lists!$B$4:$B$15,0)),0))</f>
        <v/>
      </c>
      <c r="D852" s="25" t="n"/>
      <c r="E852" s="24" t="n"/>
      <c r="F852" s="27">
        <f>IF(E852="","",IFERROR(INDEX(Lists!$H$4:$H$40,MATCH(E852,Lists!$F$4:$F$40,0)),"UNMAPPED"))</f>
        <v/>
      </c>
      <c r="G852" s="25" t="n"/>
      <c r="H852" s="25" t="n"/>
      <c r="I852" s="25" t="n"/>
      <c r="J852" s="25" t="n"/>
      <c r="K852" s="25" t="n"/>
      <c r="L852" s="29" t="n"/>
      <c r="M852" s="25" t="n"/>
      <c r="N852" s="30" t="n"/>
      <c r="O852" s="31">
        <f>IF(N852="","",IF(G852="Revenue",ROUND(N852*VATRate,2),0))</f>
        <v/>
      </c>
      <c r="P852" s="31">
        <f>IF(N852="","",N852+O852)</f>
        <v/>
      </c>
    </row>
    <row r="853">
      <c r="A853" s="26" t="n"/>
      <c r="B853" s="27">
        <f>IF(A853="","",IF(OR(A853&lt;MIN(Lists!$C$4:$C$15),A853&gt;MAX(Lists!$D$4:$D$15)),"No period",INDEX(Lists!$B$4:$B$15,MATCH(A853,Lists!$C$4:$C$15,1))))</f>
        <v/>
      </c>
      <c r="C853" s="28">
        <f>IF(B853="","",IFERROR(INDEX(Lists!$A$4:$A$15,MATCH(B853,Lists!$B$4:$B$15,0)),0))</f>
        <v/>
      </c>
      <c r="D853" s="25" t="n"/>
      <c r="E853" s="24" t="n"/>
      <c r="F853" s="27">
        <f>IF(E853="","",IFERROR(INDEX(Lists!$H$4:$H$40,MATCH(E853,Lists!$F$4:$F$40,0)),"UNMAPPED"))</f>
        <v/>
      </c>
      <c r="G853" s="25" t="n"/>
      <c r="H853" s="25" t="n"/>
      <c r="I853" s="25" t="n"/>
      <c r="J853" s="25" t="n"/>
      <c r="K853" s="25" t="n"/>
      <c r="L853" s="29" t="n"/>
      <c r="M853" s="25" t="n"/>
      <c r="N853" s="30" t="n"/>
      <c r="O853" s="31">
        <f>IF(N853="","",IF(G853="Revenue",ROUND(N853*VATRate,2),0))</f>
        <v/>
      </c>
      <c r="P853" s="31">
        <f>IF(N853="","",N853+O853)</f>
        <v/>
      </c>
    </row>
    <row r="854">
      <c r="A854" s="26" t="n"/>
      <c r="B854" s="27">
        <f>IF(A854="","",IF(OR(A854&lt;MIN(Lists!$C$4:$C$15),A854&gt;MAX(Lists!$D$4:$D$15)),"No period",INDEX(Lists!$B$4:$B$15,MATCH(A854,Lists!$C$4:$C$15,1))))</f>
        <v/>
      </c>
      <c r="C854" s="28">
        <f>IF(B854="","",IFERROR(INDEX(Lists!$A$4:$A$15,MATCH(B854,Lists!$B$4:$B$15,0)),0))</f>
        <v/>
      </c>
      <c r="D854" s="25" t="n"/>
      <c r="E854" s="24" t="n"/>
      <c r="F854" s="27">
        <f>IF(E854="","",IFERROR(INDEX(Lists!$H$4:$H$40,MATCH(E854,Lists!$F$4:$F$40,0)),"UNMAPPED"))</f>
        <v/>
      </c>
      <c r="G854" s="25" t="n"/>
      <c r="H854" s="25" t="n"/>
      <c r="I854" s="25" t="n"/>
      <c r="J854" s="25" t="n"/>
      <c r="K854" s="25" t="n"/>
      <c r="L854" s="29" t="n"/>
      <c r="M854" s="25" t="n"/>
      <c r="N854" s="30" t="n"/>
      <c r="O854" s="31">
        <f>IF(N854="","",IF(G854="Revenue",ROUND(N854*VATRate,2),0))</f>
        <v/>
      </c>
      <c r="P854" s="31">
        <f>IF(N854="","",N854+O854)</f>
        <v/>
      </c>
    </row>
    <row r="855">
      <c r="A855" s="26" t="n"/>
      <c r="B855" s="27">
        <f>IF(A855="","",IF(OR(A855&lt;MIN(Lists!$C$4:$C$15),A855&gt;MAX(Lists!$D$4:$D$15)),"No period",INDEX(Lists!$B$4:$B$15,MATCH(A855,Lists!$C$4:$C$15,1))))</f>
        <v/>
      </c>
      <c r="C855" s="28">
        <f>IF(B855="","",IFERROR(INDEX(Lists!$A$4:$A$15,MATCH(B855,Lists!$B$4:$B$15,0)),0))</f>
        <v/>
      </c>
      <c r="D855" s="25" t="n"/>
      <c r="E855" s="24" t="n"/>
      <c r="F855" s="27">
        <f>IF(E855="","",IFERROR(INDEX(Lists!$H$4:$H$40,MATCH(E855,Lists!$F$4:$F$40,0)),"UNMAPPED"))</f>
        <v/>
      </c>
      <c r="G855" s="25" t="n"/>
      <c r="H855" s="25" t="n"/>
      <c r="I855" s="25" t="n"/>
      <c r="J855" s="25" t="n"/>
      <c r="K855" s="25" t="n"/>
      <c r="L855" s="29" t="n"/>
      <c r="M855" s="25" t="n"/>
      <c r="N855" s="30" t="n"/>
      <c r="O855" s="31">
        <f>IF(N855="","",IF(G855="Revenue",ROUND(N855*VATRate,2),0))</f>
        <v/>
      </c>
      <c r="P855" s="31">
        <f>IF(N855="","",N855+O855)</f>
        <v/>
      </c>
    </row>
    <row r="856">
      <c r="A856" s="26" t="n"/>
      <c r="B856" s="27">
        <f>IF(A856="","",IF(OR(A856&lt;MIN(Lists!$C$4:$C$15),A856&gt;MAX(Lists!$D$4:$D$15)),"No period",INDEX(Lists!$B$4:$B$15,MATCH(A856,Lists!$C$4:$C$15,1))))</f>
        <v/>
      </c>
      <c r="C856" s="28">
        <f>IF(B856="","",IFERROR(INDEX(Lists!$A$4:$A$15,MATCH(B856,Lists!$B$4:$B$15,0)),0))</f>
        <v/>
      </c>
      <c r="D856" s="25" t="n"/>
      <c r="E856" s="24" t="n"/>
      <c r="F856" s="27">
        <f>IF(E856="","",IFERROR(INDEX(Lists!$H$4:$H$40,MATCH(E856,Lists!$F$4:$F$40,0)),"UNMAPPED"))</f>
        <v/>
      </c>
      <c r="G856" s="25" t="n"/>
      <c r="H856" s="25" t="n"/>
      <c r="I856" s="25" t="n"/>
      <c r="J856" s="25" t="n"/>
      <c r="K856" s="25" t="n"/>
      <c r="L856" s="29" t="n"/>
      <c r="M856" s="25" t="n"/>
      <c r="N856" s="30" t="n"/>
      <c r="O856" s="31">
        <f>IF(N856="","",IF(G856="Revenue",ROUND(N856*VATRate,2),0))</f>
        <v/>
      </c>
      <c r="P856" s="31">
        <f>IF(N856="","",N856+O856)</f>
        <v/>
      </c>
    </row>
    <row r="857">
      <c r="A857" s="26" t="n"/>
      <c r="B857" s="27">
        <f>IF(A857="","",IF(OR(A857&lt;MIN(Lists!$C$4:$C$15),A857&gt;MAX(Lists!$D$4:$D$15)),"No period",INDEX(Lists!$B$4:$B$15,MATCH(A857,Lists!$C$4:$C$15,1))))</f>
        <v/>
      </c>
      <c r="C857" s="28">
        <f>IF(B857="","",IFERROR(INDEX(Lists!$A$4:$A$15,MATCH(B857,Lists!$B$4:$B$15,0)),0))</f>
        <v/>
      </c>
      <c r="D857" s="25" t="n"/>
      <c r="E857" s="24" t="n"/>
      <c r="F857" s="27">
        <f>IF(E857="","",IFERROR(INDEX(Lists!$H$4:$H$40,MATCH(E857,Lists!$F$4:$F$40,0)),"UNMAPPED"))</f>
        <v/>
      </c>
      <c r="G857" s="25" t="n"/>
      <c r="H857" s="25" t="n"/>
      <c r="I857" s="25" t="n"/>
      <c r="J857" s="25" t="n"/>
      <c r="K857" s="25" t="n"/>
      <c r="L857" s="29" t="n"/>
      <c r="M857" s="25" t="n"/>
      <c r="N857" s="30" t="n"/>
      <c r="O857" s="31">
        <f>IF(N857="","",IF(G857="Revenue",ROUND(N857*VATRate,2),0))</f>
        <v/>
      </c>
      <c r="P857" s="31">
        <f>IF(N857="","",N857+O857)</f>
        <v/>
      </c>
    </row>
    <row r="858">
      <c r="A858" s="26" t="n"/>
      <c r="B858" s="27">
        <f>IF(A858="","",IF(OR(A858&lt;MIN(Lists!$C$4:$C$15),A858&gt;MAX(Lists!$D$4:$D$15)),"No period",INDEX(Lists!$B$4:$B$15,MATCH(A858,Lists!$C$4:$C$15,1))))</f>
        <v/>
      </c>
      <c r="C858" s="28">
        <f>IF(B858="","",IFERROR(INDEX(Lists!$A$4:$A$15,MATCH(B858,Lists!$B$4:$B$15,0)),0))</f>
        <v/>
      </c>
      <c r="D858" s="25" t="n"/>
      <c r="E858" s="24" t="n"/>
      <c r="F858" s="27">
        <f>IF(E858="","",IFERROR(INDEX(Lists!$H$4:$H$40,MATCH(E858,Lists!$F$4:$F$40,0)),"UNMAPPED"))</f>
        <v/>
      </c>
      <c r="G858" s="25" t="n"/>
      <c r="H858" s="25" t="n"/>
      <c r="I858" s="25" t="n"/>
      <c r="J858" s="25" t="n"/>
      <c r="K858" s="25" t="n"/>
      <c r="L858" s="29" t="n"/>
      <c r="M858" s="25" t="n"/>
      <c r="N858" s="30" t="n"/>
      <c r="O858" s="31">
        <f>IF(N858="","",IF(G858="Revenue",ROUND(N858*VATRate,2),0))</f>
        <v/>
      </c>
      <c r="P858" s="31">
        <f>IF(N858="","",N858+O858)</f>
        <v/>
      </c>
    </row>
    <row r="859">
      <c r="A859" s="26" t="n"/>
      <c r="B859" s="27">
        <f>IF(A859="","",IF(OR(A859&lt;MIN(Lists!$C$4:$C$15),A859&gt;MAX(Lists!$D$4:$D$15)),"No period",INDEX(Lists!$B$4:$B$15,MATCH(A859,Lists!$C$4:$C$15,1))))</f>
        <v/>
      </c>
      <c r="C859" s="28">
        <f>IF(B859="","",IFERROR(INDEX(Lists!$A$4:$A$15,MATCH(B859,Lists!$B$4:$B$15,0)),0))</f>
        <v/>
      </c>
      <c r="D859" s="25" t="n"/>
      <c r="E859" s="24" t="n"/>
      <c r="F859" s="27">
        <f>IF(E859="","",IFERROR(INDEX(Lists!$H$4:$H$40,MATCH(E859,Lists!$F$4:$F$40,0)),"UNMAPPED"))</f>
        <v/>
      </c>
      <c r="G859" s="25" t="n"/>
      <c r="H859" s="25" t="n"/>
      <c r="I859" s="25" t="n"/>
      <c r="J859" s="25" t="n"/>
      <c r="K859" s="25" t="n"/>
      <c r="L859" s="29" t="n"/>
      <c r="M859" s="25" t="n"/>
      <c r="N859" s="30" t="n"/>
      <c r="O859" s="31">
        <f>IF(N859="","",IF(G859="Revenue",ROUND(N859*VATRate,2),0))</f>
        <v/>
      </c>
      <c r="P859" s="31">
        <f>IF(N859="","",N859+O859)</f>
        <v/>
      </c>
    </row>
    <row r="860">
      <c r="A860" s="26" t="n"/>
      <c r="B860" s="27">
        <f>IF(A860="","",IF(OR(A860&lt;MIN(Lists!$C$4:$C$15),A860&gt;MAX(Lists!$D$4:$D$15)),"No period",INDEX(Lists!$B$4:$B$15,MATCH(A860,Lists!$C$4:$C$15,1))))</f>
        <v/>
      </c>
      <c r="C860" s="28">
        <f>IF(B860="","",IFERROR(INDEX(Lists!$A$4:$A$15,MATCH(B860,Lists!$B$4:$B$15,0)),0))</f>
        <v/>
      </c>
      <c r="D860" s="25" t="n"/>
      <c r="E860" s="24" t="n"/>
      <c r="F860" s="27">
        <f>IF(E860="","",IFERROR(INDEX(Lists!$H$4:$H$40,MATCH(E860,Lists!$F$4:$F$40,0)),"UNMAPPED"))</f>
        <v/>
      </c>
      <c r="G860" s="25" t="n"/>
      <c r="H860" s="25" t="n"/>
      <c r="I860" s="25" t="n"/>
      <c r="J860" s="25" t="n"/>
      <c r="K860" s="25" t="n"/>
      <c r="L860" s="29" t="n"/>
      <c r="M860" s="25" t="n"/>
      <c r="N860" s="30" t="n"/>
      <c r="O860" s="31">
        <f>IF(N860="","",IF(G860="Revenue",ROUND(N860*VATRate,2),0))</f>
        <v/>
      </c>
      <c r="P860" s="31">
        <f>IF(N860="","",N860+O860)</f>
        <v/>
      </c>
    </row>
    <row r="861">
      <c r="A861" s="26" t="n"/>
      <c r="B861" s="27">
        <f>IF(A861="","",IF(OR(A861&lt;MIN(Lists!$C$4:$C$15),A861&gt;MAX(Lists!$D$4:$D$15)),"No period",INDEX(Lists!$B$4:$B$15,MATCH(A861,Lists!$C$4:$C$15,1))))</f>
        <v/>
      </c>
      <c r="C861" s="28">
        <f>IF(B861="","",IFERROR(INDEX(Lists!$A$4:$A$15,MATCH(B861,Lists!$B$4:$B$15,0)),0))</f>
        <v/>
      </c>
      <c r="D861" s="25" t="n"/>
      <c r="E861" s="24" t="n"/>
      <c r="F861" s="27">
        <f>IF(E861="","",IFERROR(INDEX(Lists!$H$4:$H$40,MATCH(E861,Lists!$F$4:$F$40,0)),"UNMAPPED"))</f>
        <v/>
      </c>
      <c r="G861" s="25" t="n"/>
      <c r="H861" s="25" t="n"/>
      <c r="I861" s="25" t="n"/>
      <c r="J861" s="25" t="n"/>
      <c r="K861" s="25" t="n"/>
      <c r="L861" s="29" t="n"/>
      <c r="M861" s="25" t="n"/>
      <c r="N861" s="30" t="n"/>
      <c r="O861" s="31">
        <f>IF(N861="","",IF(G861="Revenue",ROUND(N861*VATRate,2),0))</f>
        <v/>
      </c>
      <c r="P861" s="31">
        <f>IF(N861="","",N861+O861)</f>
        <v/>
      </c>
    </row>
    <row r="862">
      <c r="A862" s="26" t="n"/>
      <c r="B862" s="27">
        <f>IF(A862="","",IF(OR(A862&lt;MIN(Lists!$C$4:$C$15),A862&gt;MAX(Lists!$D$4:$D$15)),"No period",INDEX(Lists!$B$4:$B$15,MATCH(A862,Lists!$C$4:$C$15,1))))</f>
        <v/>
      </c>
      <c r="C862" s="28">
        <f>IF(B862="","",IFERROR(INDEX(Lists!$A$4:$A$15,MATCH(B862,Lists!$B$4:$B$15,0)),0))</f>
        <v/>
      </c>
      <c r="D862" s="25" t="n"/>
      <c r="E862" s="24" t="n"/>
      <c r="F862" s="27">
        <f>IF(E862="","",IFERROR(INDEX(Lists!$H$4:$H$40,MATCH(E862,Lists!$F$4:$F$40,0)),"UNMAPPED"))</f>
        <v/>
      </c>
      <c r="G862" s="25" t="n"/>
      <c r="H862" s="25" t="n"/>
      <c r="I862" s="25" t="n"/>
      <c r="J862" s="25" t="n"/>
      <c r="K862" s="25" t="n"/>
      <c r="L862" s="29" t="n"/>
      <c r="M862" s="25" t="n"/>
      <c r="N862" s="30" t="n"/>
      <c r="O862" s="31">
        <f>IF(N862="","",IF(G862="Revenue",ROUND(N862*VATRate,2),0))</f>
        <v/>
      </c>
      <c r="P862" s="31">
        <f>IF(N862="","",N862+O862)</f>
        <v/>
      </c>
    </row>
    <row r="863">
      <c r="A863" s="26" t="n"/>
      <c r="B863" s="27">
        <f>IF(A863="","",IF(OR(A863&lt;MIN(Lists!$C$4:$C$15),A863&gt;MAX(Lists!$D$4:$D$15)),"No period",INDEX(Lists!$B$4:$B$15,MATCH(A863,Lists!$C$4:$C$15,1))))</f>
        <v/>
      </c>
      <c r="C863" s="28">
        <f>IF(B863="","",IFERROR(INDEX(Lists!$A$4:$A$15,MATCH(B863,Lists!$B$4:$B$15,0)),0))</f>
        <v/>
      </c>
      <c r="D863" s="25" t="n"/>
      <c r="E863" s="24" t="n"/>
      <c r="F863" s="27">
        <f>IF(E863="","",IFERROR(INDEX(Lists!$H$4:$H$40,MATCH(E863,Lists!$F$4:$F$40,0)),"UNMAPPED"))</f>
        <v/>
      </c>
      <c r="G863" s="25" t="n"/>
      <c r="H863" s="25" t="n"/>
      <c r="I863" s="25" t="n"/>
      <c r="J863" s="25" t="n"/>
      <c r="K863" s="25" t="n"/>
      <c r="L863" s="29" t="n"/>
      <c r="M863" s="25" t="n"/>
      <c r="N863" s="30" t="n"/>
      <c r="O863" s="31">
        <f>IF(N863="","",IF(G863="Revenue",ROUND(N863*VATRate,2),0))</f>
        <v/>
      </c>
      <c r="P863" s="31">
        <f>IF(N863="","",N863+O863)</f>
        <v/>
      </c>
    </row>
    <row r="864">
      <c r="A864" s="26" t="n"/>
      <c r="B864" s="27">
        <f>IF(A864="","",IF(OR(A864&lt;MIN(Lists!$C$4:$C$15),A864&gt;MAX(Lists!$D$4:$D$15)),"No period",INDEX(Lists!$B$4:$B$15,MATCH(A864,Lists!$C$4:$C$15,1))))</f>
        <v/>
      </c>
      <c r="C864" s="28">
        <f>IF(B864="","",IFERROR(INDEX(Lists!$A$4:$A$15,MATCH(B864,Lists!$B$4:$B$15,0)),0))</f>
        <v/>
      </c>
      <c r="D864" s="25" t="n"/>
      <c r="E864" s="24" t="n"/>
      <c r="F864" s="27">
        <f>IF(E864="","",IFERROR(INDEX(Lists!$H$4:$H$40,MATCH(E864,Lists!$F$4:$F$40,0)),"UNMAPPED"))</f>
        <v/>
      </c>
      <c r="G864" s="25" t="n"/>
      <c r="H864" s="25" t="n"/>
      <c r="I864" s="25" t="n"/>
      <c r="J864" s="25" t="n"/>
      <c r="K864" s="25" t="n"/>
      <c r="L864" s="29" t="n"/>
      <c r="M864" s="25" t="n"/>
      <c r="N864" s="30" t="n"/>
      <c r="O864" s="31">
        <f>IF(N864="","",IF(G864="Revenue",ROUND(N864*VATRate,2),0))</f>
        <v/>
      </c>
      <c r="P864" s="31">
        <f>IF(N864="","",N864+O864)</f>
        <v/>
      </c>
    </row>
    <row r="865">
      <c r="A865" s="26" t="n"/>
      <c r="B865" s="27">
        <f>IF(A865="","",IF(OR(A865&lt;MIN(Lists!$C$4:$C$15),A865&gt;MAX(Lists!$D$4:$D$15)),"No period",INDEX(Lists!$B$4:$B$15,MATCH(A865,Lists!$C$4:$C$15,1))))</f>
        <v/>
      </c>
      <c r="C865" s="28">
        <f>IF(B865="","",IFERROR(INDEX(Lists!$A$4:$A$15,MATCH(B865,Lists!$B$4:$B$15,0)),0))</f>
        <v/>
      </c>
      <c r="D865" s="25" t="n"/>
      <c r="E865" s="24" t="n"/>
      <c r="F865" s="27">
        <f>IF(E865="","",IFERROR(INDEX(Lists!$H$4:$H$40,MATCH(E865,Lists!$F$4:$F$40,0)),"UNMAPPED"))</f>
        <v/>
      </c>
      <c r="G865" s="25" t="n"/>
      <c r="H865" s="25" t="n"/>
      <c r="I865" s="25" t="n"/>
      <c r="J865" s="25" t="n"/>
      <c r="K865" s="25" t="n"/>
      <c r="L865" s="29" t="n"/>
      <c r="M865" s="25" t="n"/>
      <c r="N865" s="30" t="n"/>
      <c r="O865" s="31">
        <f>IF(N865="","",IF(G865="Revenue",ROUND(N865*VATRate,2),0))</f>
        <v/>
      </c>
      <c r="P865" s="31">
        <f>IF(N865="","",N865+O865)</f>
        <v/>
      </c>
    </row>
    <row r="866">
      <c r="A866" s="26" t="n"/>
      <c r="B866" s="27">
        <f>IF(A866="","",IF(OR(A866&lt;MIN(Lists!$C$4:$C$15),A866&gt;MAX(Lists!$D$4:$D$15)),"No period",INDEX(Lists!$B$4:$B$15,MATCH(A866,Lists!$C$4:$C$15,1))))</f>
        <v/>
      </c>
      <c r="C866" s="28">
        <f>IF(B866="","",IFERROR(INDEX(Lists!$A$4:$A$15,MATCH(B866,Lists!$B$4:$B$15,0)),0))</f>
        <v/>
      </c>
      <c r="D866" s="25" t="n"/>
      <c r="E866" s="24" t="n"/>
      <c r="F866" s="27">
        <f>IF(E866="","",IFERROR(INDEX(Lists!$H$4:$H$40,MATCH(E866,Lists!$F$4:$F$40,0)),"UNMAPPED"))</f>
        <v/>
      </c>
      <c r="G866" s="25" t="n"/>
      <c r="H866" s="25" t="n"/>
      <c r="I866" s="25" t="n"/>
      <c r="J866" s="25" t="n"/>
      <c r="K866" s="25" t="n"/>
      <c r="L866" s="29" t="n"/>
      <c r="M866" s="25" t="n"/>
      <c r="N866" s="30" t="n"/>
      <c r="O866" s="31">
        <f>IF(N866="","",IF(G866="Revenue",ROUND(N866*VATRate,2),0))</f>
        <v/>
      </c>
      <c r="P866" s="31">
        <f>IF(N866="","",N866+O866)</f>
        <v/>
      </c>
    </row>
    <row r="867">
      <c r="A867" s="26" t="n"/>
      <c r="B867" s="27">
        <f>IF(A867="","",IF(OR(A867&lt;MIN(Lists!$C$4:$C$15),A867&gt;MAX(Lists!$D$4:$D$15)),"No period",INDEX(Lists!$B$4:$B$15,MATCH(A867,Lists!$C$4:$C$15,1))))</f>
        <v/>
      </c>
      <c r="C867" s="28">
        <f>IF(B867="","",IFERROR(INDEX(Lists!$A$4:$A$15,MATCH(B867,Lists!$B$4:$B$15,0)),0))</f>
        <v/>
      </c>
      <c r="D867" s="25" t="n"/>
      <c r="E867" s="24" t="n"/>
      <c r="F867" s="27">
        <f>IF(E867="","",IFERROR(INDEX(Lists!$H$4:$H$40,MATCH(E867,Lists!$F$4:$F$40,0)),"UNMAPPED"))</f>
        <v/>
      </c>
      <c r="G867" s="25" t="n"/>
      <c r="H867" s="25" t="n"/>
      <c r="I867" s="25" t="n"/>
      <c r="J867" s="25" t="n"/>
      <c r="K867" s="25" t="n"/>
      <c r="L867" s="29" t="n"/>
      <c r="M867" s="25" t="n"/>
      <c r="N867" s="30" t="n"/>
      <c r="O867" s="31">
        <f>IF(N867="","",IF(G867="Revenue",ROUND(N867*VATRate,2),0))</f>
        <v/>
      </c>
      <c r="P867" s="31">
        <f>IF(N867="","",N867+O867)</f>
        <v/>
      </c>
    </row>
    <row r="868">
      <c r="A868" s="26" t="n"/>
      <c r="B868" s="27">
        <f>IF(A868="","",IF(OR(A868&lt;MIN(Lists!$C$4:$C$15),A868&gt;MAX(Lists!$D$4:$D$15)),"No period",INDEX(Lists!$B$4:$B$15,MATCH(A868,Lists!$C$4:$C$15,1))))</f>
        <v/>
      </c>
      <c r="C868" s="28">
        <f>IF(B868="","",IFERROR(INDEX(Lists!$A$4:$A$15,MATCH(B868,Lists!$B$4:$B$15,0)),0))</f>
        <v/>
      </c>
      <c r="D868" s="25" t="n"/>
      <c r="E868" s="24" t="n"/>
      <c r="F868" s="27">
        <f>IF(E868="","",IFERROR(INDEX(Lists!$H$4:$H$40,MATCH(E868,Lists!$F$4:$F$40,0)),"UNMAPPED"))</f>
        <v/>
      </c>
      <c r="G868" s="25" t="n"/>
      <c r="H868" s="25" t="n"/>
      <c r="I868" s="25" t="n"/>
      <c r="J868" s="25" t="n"/>
      <c r="K868" s="25" t="n"/>
      <c r="L868" s="29" t="n"/>
      <c r="M868" s="25" t="n"/>
      <c r="N868" s="30" t="n"/>
      <c r="O868" s="31">
        <f>IF(N868="","",IF(G868="Revenue",ROUND(N868*VATRate,2),0))</f>
        <v/>
      </c>
      <c r="P868" s="31">
        <f>IF(N868="","",N868+O868)</f>
        <v/>
      </c>
    </row>
    <row r="869">
      <c r="A869" s="26" t="n"/>
      <c r="B869" s="27">
        <f>IF(A869="","",IF(OR(A869&lt;MIN(Lists!$C$4:$C$15),A869&gt;MAX(Lists!$D$4:$D$15)),"No period",INDEX(Lists!$B$4:$B$15,MATCH(A869,Lists!$C$4:$C$15,1))))</f>
        <v/>
      </c>
      <c r="C869" s="28">
        <f>IF(B869="","",IFERROR(INDEX(Lists!$A$4:$A$15,MATCH(B869,Lists!$B$4:$B$15,0)),0))</f>
        <v/>
      </c>
      <c r="D869" s="25" t="n"/>
      <c r="E869" s="24" t="n"/>
      <c r="F869" s="27">
        <f>IF(E869="","",IFERROR(INDEX(Lists!$H$4:$H$40,MATCH(E869,Lists!$F$4:$F$40,0)),"UNMAPPED"))</f>
        <v/>
      </c>
      <c r="G869" s="25" t="n"/>
      <c r="H869" s="25" t="n"/>
      <c r="I869" s="25" t="n"/>
      <c r="J869" s="25" t="n"/>
      <c r="K869" s="25" t="n"/>
      <c r="L869" s="29" t="n"/>
      <c r="M869" s="25" t="n"/>
      <c r="N869" s="30" t="n"/>
      <c r="O869" s="31">
        <f>IF(N869="","",IF(G869="Revenue",ROUND(N869*VATRate,2),0))</f>
        <v/>
      </c>
      <c r="P869" s="31">
        <f>IF(N869="","",N869+O869)</f>
        <v/>
      </c>
    </row>
    <row r="870">
      <c r="A870" s="26" t="n"/>
      <c r="B870" s="27">
        <f>IF(A870="","",IF(OR(A870&lt;MIN(Lists!$C$4:$C$15),A870&gt;MAX(Lists!$D$4:$D$15)),"No period",INDEX(Lists!$B$4:$B$15,MATCH(A870,Lists!$C$4:$C$15,1))))</f>
        <v/>
      </c>
      <c r="C870" s="28">
        <f>IF(B870="","",IFERROR(INDEX(Lists!$A$4:$A$15,MATCH(B870,Lists!$B$4:$B$15,0)),0))</f>
        <v/>
      </c>
      <c r="D870" s="25" t="n"/>
      <c r="E870" s="24" t="n"/>
      <c r="F870" s="27">
        <f>IF(E870="","",IFERROR(INDEX(Lists!$H$4:$H$40,MATCH(E870,Lists!$F$4:$F$40,0)),"UNMAPPED"))</f>
        <v/>
      </c>
      <c r="G870" s="25" t="n"/>
      <c r="H870" s="25" t="n"/>
      <c r="I870" s="25" t="n"/>
      <c r="J870" s="25" t="n"/>
      <c r="K870" s="25" t="n"/>
      <c r="L870" s="29" t="n"/>
      <c r="M870" s="25" t="n"/>
      <c r="N870" s="30" t="n"/>
      <c r="O870" s="31">
        <f>IF(N870="","",IF(G870="Revenue",ROUND(N870*VATRate,2),0))</f>
        <v/>
      </c>
      <c r="P870" s="31">
        <f>IF(N870="","",N870+O870)</f>
        <v/>
      </c>
    </row>
    <row r="871">
      <c r="A871" s="26" t="n"/>
      <c r="B871" s="27">
        <f>IF(A871="","",IF(OR(A871&lt;MIN(Lists!$C$4:$C$15),A871&gt;MAX(Lists!$D$4:$D$15)),"No period",INDEX(Lists!$B$4:$B$15,MATCH(A871,Lists!$C$4:$C$15,1))))</f>
        <v/>
      </c>
      <c r="C871" s="28">
        <f>IF(B871="","",IFERROR(INDEX(Lists!$A$4:$A$15,MATCH(B871,Lists!$B$4:$B$15,0)),0))</f>
        <v/>
      </c>
      <c r="D871" s="25" t="n"/>
      <c r="E871" s="24" t="n"/>
      <c r="F871" s="27">
        <f>IF(E871="","",IFERROR(INDEX(Lists!$H$4:$H$40,MATCH(E871,Lists!$F$4:$F$40,0)),"UNMAPPED"))</f>
        <v/>
      </c>
      <c r="G871" s="25" t="n"/>
      <c r="H871" s="25" t="n"/>
      <c r="I871" s="25" t="n"/>
      <c r="J871" s="25" t="n"/>
      <c r="K871" s="25" t="n"/>
      <c r="L871" s="29" t="n"/>
      <c r="M871" s="25" t="n"/>
      <c r="N871" s="30" t="n"/>
      <c r="O871" s="31">
        <f>IF(N871="","",IF(G871="Revenue",ROUND(N871*VATRate,2),0))</f>
        <v/>
      </c>
      <c r="P871" s="31">
        <f>IF(N871="","",N871+O871)</f>
        <v/>
      </c>
    </row>
    <row r="872">
      <c r="A872" s="26" t="n"/>
      <c r="B872" s="27">
        <f>IF(A872="","",IF(OR(A872&lt;MIN(Lists!$C$4:$C$15),A872&gt;MAX(Lists!$D$4:$D$15)),"No period",INDEX(Lists!$B$4:$B$15,MATCH(A872,Lists!$C$4:$C$15,1))))</f>
        <v/>
      </c>
      <c r="C872" s="28">
        <f>IF(B872="","",IFERROR(INDEX(Lists!$A$4:$A$15,MATCH(B872,Lists!$B$4:$B$15,0)),0))</f>
        <v/>
      </c>
      <c r="D872" s="25" t="n"/>
      <c r="E872" s="24" t="n"/>
      <c r="F872" s="27">
        <f>IF(E872="","",IFERROR(INDEX(Lists!$H$4:$H$40,MATCH(E872,Lists!$F$4:$F$40,0)),"UNMAPPED"))</f>
        <v/>
      </c>
      <c r="G872" s="25" t="n"/>
      <c r="H872" s="25" t="n"/>
      <c r="I872" s="25" t="n"/>
      <c r="J872" s="25" t="n"/>
      <c r="K872" s="25" t="n"/>
      <c r="L872" s="29" t="n"/>
      <c r="M872" s="25" t="n"/>
      <c r="N872" s="30" t="n"/>
      <c r="O872" s="31">
        <f>IF(N872="","",IF(G872="Revenue",ROUND(N872*VATRate,2),0))</f>
        <v/>
      </c>
      <c r="P872" s="31">
        <f>IF(N872="","",N872+O872)</f>
        <v/>
      </c>
    </row>
    <row r="873">
      <c r="A873" s="26" t="n"/>
      <c r="B873" s="27">
        <f>IF(A873="","",IF(OR(A873&lt;MIN(Lists!$C$4:$C$15),A873&gt;MAX(Lists!$D$4:$D$15)),"No period",INDEX(Lists!$B$4:$B$15,MATCH(A873,Lists!$C$4:$C$15,1))))</f>
        <v/>
      </c>
      <c r="C873" s="28">
        <f>IF(B873="","",IFERROR(INDEX(Lists!$A$4:$A$15,MATCH(B873,Lists!$B$4:$B$15,0)),0))</f>
        <v/>
      </c>
      <c r="D873" s="25" t="n"/>
      <c r="E873" s="24" t="n"/>
      <c r="F873" s="27">
        <f>IF(E873="","",IFERROR(INDEX(Lists!$H$4:$H$40,MATCH(E873,Lists!$F$4:$F$40,0)),"UNMAPPED"))</f>
        <v/>
      </c>
      <c r="G873" s="25" t="n"/>
      <c r="H873" s="25" t="n"/>
      <c r="I873" s="25" t="n"/>
      <c r="J873" s="25" t="n"/>
      <c r="K873" s="25" t="n"/>
      <c r="L873" s="29" t="n"/>
      <c r="M873" s="25" t="n"/>
      <c r="N873" s="30" t="n"/>
      <c r="O873" s="31">
        <f>IF(N873="","",IF(G873="Revenue",ROUND(N873*VATRate,2),0))</f>
        <v/>
      </c>
      <c r="P873" s="31">
        <f>IF(N873="","",N873+O873)</f>
        <v/>
      </c>
    </row>
    <row r="874">
      <c r="A874" s="26" t="n"/>
      <c r="B874" s="27">
        <f>IF(A874="","",IF(OR(A874&lt;MIN(Lists!$C$4:$C$15),A874&gt;MAX(Lists!$D$4:$D$15)),"No period",INDEX(Lists!$B$4:$B$15,MATCH(A874,Lists!$C$4:$C$15,1))))</f>
        <v/>
      </c>
      <c r="C874" s="28">
        <f>IF(B874="","",IFERROR(INDEX(Lists!$A$4:$A$15,MATCH(B874,Lists!$B$4:$B$15,0)),0))</f>
        <v/>
      </c>
      <c r="D874" s="25" t="n"/>
      <c r="E874" s="24" t="n"/>
      <c r="F874" s="27">
        <f>IF(E874="","",IFERROR(INDEX(Lists!$H$4:$H$40,MATCH(E874,Lists!$F$4:$F$40,0)),"UNMAPPED"))</f>
        <v/>
      </c>
      <c r="G874" s="25" t="n"/>
      <c r="H874" s="25" t="n"/>
      <c r="I874" s="25" t="n"/>
      <c r="J874" s="25" t="n"/>
      <c r="K874" s="25" t="n"/>
      <c r="L874" s="29" t="n"/>
      <c r="M874" s="25" t="n"/>
      <c r="N874" s="30" t="n"/>
      <c r="O874" s="31">
        <f>IF(N874="","",IF(G874="Revenue",ROUND(N874*VATRate,2),0))</f>
        <v/>
      </c>
      <c r="P874" s="31">
        <f>IF(N874="","",N874+O874)</f>
        <v/>
      </c>
    </row>
    <row r="875">
      <c r="A875" s="26" t="n"/>
      <c r="B875" s="27">
        <f>IF(A875="","",IF(OR(A875&lt;MIN(Lists!$C$4:$C$15),A875&gt;MAX(Lists!$D$4:$D$15)),"No period",INDEX(Lists!$B$4:$B$15,MATCH(A875,Lists!$C$4:$C$15,1))))</f>
        <v/>
      </c>
      <c r="C875" s="28">
        <f>IF(B875="","",IFERROR(INDEX(Lists!$A$4:$A$15,MATCH(B875,Lists!$B$4:$B$15,0)),0))</f>
        <v/>
      </c>
      <c r="D875" s="25" t="n"/>
      <c r="E875" s="24" t="n"/>
      <c r="F875" s="27">
        <f>IF(E875="","",IFERROR(INDEX(Lists!$H$4:$H$40,MATCH(E875,Lists!$F$4:$F$40,0)),"UNMAPPED"))</f>
        <v/>
      </c>
      <c r="G875" s="25" t="n"/>
      <c r="H875" s="25" t="n"/>
      <c r="I875" s="25" t="n"/>
      <c r="J875" s="25" t="n"/>
      <c r="K875" s="25" t="n"/>
      <c r="L875" s="29" t="n"/>
      <c r="M875" s="25" t="n"/>
      <c r="N875" s="30" t="n"/>
      <c r="O875" s="31">
        <f>IF(N875="","",IF(G875="Revenue",ROUND(N875*VATRate,2),0))</f>
        <v/>
      </c>
      <c r="P875" s="31">
        <f>IF(N875="","",N875+O875)</f>
        <v/>
      </c>
    </row>
    <row r="876">
      <c r="A876" s="26" t="n"/>
      <c r="B876" s="27">
        <f>IF(A876="","",IF(OR(A876&lt;MIN(Lists!$C$4:$C$15),A876&gt;MAX(Lists!$D$4:$D$15)),"No period",INDEX(Lists!$B$4:$B$15,MATCH(A876,Lists!$C$4:$C$15,1))))</f>
        <v/>
      </c>
      <c r="C876" s="28">
        <f>IF(B876="","",IFERROR(INDEX(Lists!$A$4:$A$15,MATCH(B876,Lists!$B$4:$B$15,0)),0))</f>
        <v/>
      </c>
      <c r="D876" s="25" t="n"/>
      <c r="E876" s="24" t="n"/>
      <c r="F876" s="27">
        <f>IF(E876="","",IFERROR(INDEX(Lists!$H$4:$H$40,MATCH(E876,Lists!$F$4:$F$40,0)),"UNMAPPED"))</f>
        <v/>
      </c>
      <c r="G876" s="25" t="n"/>
      <c r="H876" s="25" t="n"/>
      <c r="I876" s="25" t="n"/>
      <c r="J876" s="25" t="n"/>
      <c r="K876" s="25" t="n"/>
      <c r="L876" s="29" t="n"/>
      <c r="M876" s="25" t="n"/>
      <c r="N876" s="30" t="n"/>
      <c r="O876" s="31">
        <f>IF(N876="","",IF(G876="Revenue",ROUND(N876*VATRate,2),0))</f>
        <v/>
      </c>
      <c r="P876" s="31">
        <f>IF(N876="","",N876+O876)</f>
        <v/>
      </c>
    </row>
    <row r="877">
      <c r="A877" s="26" t="n"/>
      <c r="B877" s="27">
        <f>IF(A877="","",IF(OR(A877&lt;MIN(Lists!$C$4:$C$15),A877&gt;MAX(Lists!$D$4:$D$15)),"No period",INDEX(Lists!$B$4:$B$15,MATCH(A877,Lists!$C$4:$C$15,1))))</f>
        <v/>
      </c>
      <c r="C877" s="28">
        <f>IF(B877="","",IFERROR(INDEX(Lists!$A$4:$A$15,MATCH(B877,Lists!$B$4:$B$15,0)),0))</f>
        <v/>
      </c>
      <c r="D877" s="25" t="n"/>
      <c r="E877" s="24" t="n"/>
      <c r="F877" s="27">
        <f>IF(E877="","",IFERROR(INDEX(Lists!$H$4:$H$40,MATCH(E877,Lists!$F$4:$F$40,0)),"UNMAPPED"))</f>
        <v/>
      </c>
      <c r="G877" s="25" t="n"/>
      <c r="H877" s="25" t="n"/>
      <c r="I877" s="25" t="n"/>
      <c r="J877" s="25" t="n"/>
      <c r="K877" s="25" t="n"/>
      <c r="L877" s="29" t="n"/>
      <c r="M877" s="25" t="n"/>
      <c r="N877" s="30" t="n"/>
      <c r="O877" s="31">
        <f>IF(N877="","",IF(G877="Revenue",ROUND(N877*VATRate,2),0))</f>
        <v/>
      </c>
      <c r="P877" s="31">
        <f>IF(N877="","",N877+O877)</f>
        <v/>
      </c>
    </row>
    <row r="878">
      <c r="A878" s="26" t="n"/>
      <c r="B878" s="27">
        <f>IF(A878="","",IF(OR(A878&lt;MIN(Lists!$C$4:$C$15),A878&gt;MAX(Lists!$D$4:$D$15)),"No period",INDEX(Lists!$B$4:$B$15,MATCH(A878,Lists!$C$4:$C$15,1))))</f>
        <v/>
      </c>
      <c r="C878" s="28">
        <f>IF(B878="","",IFERROR(INDEX(Lists!$A$4:$A$15,MATCH(B878,Lists!$B$4:$B$15,0)),0))</f>
        <v/>
      </c>
      <c r="D878" s="25" t="n"/>
      <c r="E878" s="24" t="n"/>
      <c r="F878" s="27">
        <f>IF(E878="","",IFERROR(INDEX(Lists!$H$4:$H$40,MATCH(E878,Lists!$F$4:$F$40,0)),"UNMAPPED"))</f>
        <v/>
      </c>
      <c r="G878" s="25" t="n"/>
      <c r="H878" s="25" t="n"/>
      <c r="I878" s="25" t="n"/>
      <c r="J878" s="25" t="n"/>
      <c r="K878" s="25" t="n"/>
      <c r="L878" s="29" t="n"/>
      <c r="M878" s="25" t="n"/>
      <c r="N878" s="30" t="n"/>
      <c r="O878" s="31">
        <f>IF(N878="","",IF(G878="Revenue",ROUND(N878*VATRate,2),0))</f>
        <v/>
      </c>
      <c r="P878" s="31">
        <f>IF(N878="","",N878+O878)</f>
        <v/>
      </c>
    </row>
    <row r="879">
      <c r="A879" s="26" t="n"/>
      <c r="B879" s="27">
        <f>IF(A879="","",IF(OR(A879&lt;MIN(Lists!$C$4:$C$15),A879&gt;MAX(Lists!$D$4:$D$15)),"No period",INDEX(Lists!$B$4:$B$15,MATCH(A879,Lists!$C$4:$C$15,1))))</f>
        <v/>
      </c>
      <c r="C879" s="28">
        <f>IF(B879="","",IFERROR(INDEX(Lists!$A$4:$A$15,MATCH(B879,Lists!$B$4:$B$15,0)),0))</f>
        <v/>
      </c>
      <c r="D879" s="25" t="n"/>
      <c r="E879" s="24" t="n"/>
      <c r="F879" s="27">
        <f>IF(E879="","",IFERROR(INDEX(Lists!$H$4:$H$40,MATCH(E879,Lists!$F$4:$F$40,0)),"UNMAPPED"))</f>
        <v/>
      </c>
      <c r="G879" s="25" t="n"/>
      <c r="H879" s="25" t="n"/>
      <c r="I879" s="25" t="n"/>
      <c r="J879" s="25" t="n"/>
      <c r="K879" s="25" t="n"/>
      <c r="L879" s="29" t="n"/>
      <c r="M879" s="25" t="n"/>
      <c r="N879" s="30" t="n"/>
      <c r="O879" s="31">
        <f>IF(N879="","",IF(G879="Revenue",ROUND(N879*VATRate,2),0))</f>
        <v/>
      </c>
      <c r="P879" s="31">
        <f>IF(N879="","",N879+O879)</f>
        <v/>
      </c>
    </row>
    <row r="880">
      <c r="A880" s="26" t="n"/>
      <c r="B880" s="27">
        <f>IF(A880="","",IF(OR(A880&lt;MIN(Lists!$C$4:$C$15),A880&gt;MAX(Lists!$D$4:$D$15)),"No period",INDEX(Lists!$B$4:$B$15,MATCH(A880,Lists!$C$4:$C$15,1))))</f>
        <v/>
      </c>
      <c r="C880" s="28">
        <f>IF(B880="","",IFERROR(INDEX(Lists!$A$4:$A$15,MATCH(B880,Lists!$B$4:$B$15,0)),0))</f>
        <v/>
      </c>
      <c r="D880" s="25" t="n"/>
      <c r="E880" s="24" t="n"/>
      <c r="F880" s="27">
        <f>IF(E880="","",IFERROR(INDEX(Lists!$H$4:$H$40,MATCH(E880,Lists!$F$4:$F$40,0)),"UNMAPPED"))</f>
        <v/>
      </c>
      <c r="G880" s="25" t="n"/>
      <c r="H880" s="25" t="n"/>
      <c r="I880" s="25" t="n"/>
      <c r="J880" s="25" t="n"/>
      <c r="K880" s="25" t="n"/>
      <c r="L880" s="29" t="n"/>
      <c r="M880" s="25" t="n"/>
      <c r="N880" s="30" t="n"/>
      <c r="O880" s="31">
        <f>IF(N880="","",IF(G880="Revenue",ROUND(N880*VATRate,2),0))</f>
        <v/>
      </c>
      <c r="P880" s="31">
        <f>IF(N880="","",N880+O880)</f>
        <v/>
      </c>
    </row>
    <row r="881">
      <c r="A881" s="26" t="n"/>
      <c r="B881" s="27">
        <f>IF(A881="","",IF(OR(A881&lt;MIN(Lists!$C$4:$C$15),A881&gt;MAX(Lists!$D$4:$D$15)),"No period",INDEX(Lists!$B$4:$B$15,MATCH(A881,Lists!$C$4:$C$15,1))))</f>
        <v/>
      </c>
      <c r="C881" s="28">
        <f>IF(B881="","",IFERROR(INDEX(Lists!$A$4:$A$15,MATCH(B881,Lists!$B$4:$B$15,0)),0))</f>
        <v/>
      </c>
      <c r="D881" s="25" t="n"/>
      <c r="E881" s="24" t="n"/>
      <c r="F881" s="27">
        <f>IF(E881="","",IFERROR(INDEX(Lists!$H$4:$H$40,MATCH(E881,Lists!$F$4:$F$40,0)),"UNMAPPED"))</f>
        <v/>
      </c>
      <c r="G881" s="25" t="n"/>
      <c r="H881" s="25" t="n"/>
      <c r="I881" s="25" t="n"/>
      <c r="J881" s="25" t="n"/>
      <c r="K881" s="25" t="n"/>
      <c r="L881" s="29" t="n"/>
      <c r="M881" s="25" t="n"/>
      <c r="N881" s="30" t="n"/>
      <c r="O881" s="31">
        <f>IF(N881="","",IF(G881="Revenue",ROUND(N881*VATRate,2),0))</f>
        <v/>
      </c>
      <c r="P881" s="31">
        <f>IF(N881="","",N881+O881)</f>
        <v/>
      </c>
    </row>
    <row r="882">
      <c r="A882" s="26" t="n"/>
      <c r="B882" s="27">
        <f>IF(A882="","",IF(OR(A882&lt;MIN(Lists!$C$4:$C$15),A882&gt;MAX(Lists!$D$4:$D$15)),"No period",INDEX(Lists!$B$4:$B$15,MATCH(A882,Lists!$C$4:$C$15,1))))</f>
        <v/>
      </c>
      <c r="C882" s="28">
        <f>IF(B882="","",IFERROR(INDEX(Lists!$A$4:$A$15,MATCH(B882,Lists!$B$4:$B$15,0)),0))</f>
        <v/>
      </c>
      <c r="D882" s="25" t="n"/>
      <c r="E882" s="24" t="n"/>
      <c r="F882" s="27">
        <f>IF(E882="","",IFERROR(INDEX(Lists!$H$4:$H$40,MATCH(E882,Lists!$F$4:$F$40,0)),"UNMAPPED"))</f>
        <v/>
      </c>
      <c r="G882" s="25" t="n"/>
      <c r="H882" s="25" t="n"/>
      <c r="I882" s="25" t="n"/>
      <c r="J882" s="25" t="n"/>
      <c r="K882" s="25" t="n"/>
      <c r="L882" s="29" t="n"/>
      <c r="M882" s="25" t="n"/>
      <c r="N882" s="30" t="n"/>
      <c r="O882" s="31">
        <f>IF(N882="","",IF(G882="Revenue",ROUND(N882*VATRate,2),0))</f>
        <v/>
      </c>
      <c r="P882" s="31">
        <f>IF(N882="","",N882+O882)</f>
        <v/>
      </c>
    </row>
    <row r="883">
      <c r="A883" s="26" t="n"/>
      <c r="B883" s="27">
        <f>IF(A883="","",IF(OR(A883&lt;MIN(Lists!$C$4:$C$15),A883&gt;MAX(Lists!$D$4:$D$15)),"No period",INDEX(Lists!$B$4:$B$15,MATCH(A883,Lists!$C$4:$C$15,1))))</f>
        <v/>
      </c>
      <c r="C883" s="28">
        <f>IF(B883="","",IFERROR(INDEX(Lists!$A$4:$A$15,MATCH(B883,Lists!$B$4:$B$15,0)),0))</f>
        <v/>
      </c>
      <c r="D883" s="25" t="n"/>
      <c r="E883" s="24" t="n"/>
      <c r="F883" s="27">
        <f>IF(E883="","",IFERROR(INDEX(Lists!$H$4:$H$40,MATCH(E883,Lists!$F$4:$F$40,0)),"UNMAPPED"))</f>
        <v/>
      </c>
      <c r="G883" s="25" t="n"/>
      <c r="H883" s="25" t="n"/>
      <c r="I883" s="25" t="n"/>
      <c r="J883" s="25" t="n"/>
      <c r="K883" s="25" t="n"/>
      <c r="L883" s="29" t="n"/>
      <c r="M883" s="25" t="n"/>
      <c r="N883" s="30" t="n"/>
      <c r="O883" s="31">
        <f>IF(N883="","",IF(G883="Revenue",ROUND(N883*VATRate,2),0))</f>
        <v/>
      </c>
      <c r="P883" s="31">
        <f>IF(N883="","",N883+O883)</f>
        <v/>
      </c>
    </row>
    <row r="884">
      <c r="A884" s="26" t="n"/>
      <c r="B884" s="27">
        <f>IF(A884="","",IF(OR(A884&lt;MIN(Lists!$C$4:$C$15),A884&gt;MAX(Lists!$D$4:$D$15)),"No period",INDEX(Lists!$B$4:$B$15,MATCH(A884,Lists!$C$4:$C$15,1))))</f>
        <v/>
      </c>
      <c r="C884" s="28">
        <f>IF(B884="","",IFERROR(INDEX(Lists!$A$4:$A$15,MATCH(B884,Lists!$B$4:$B$15,0)),0))</f>
        <v/>
      </c>
      <c r="D884" s="25" t="n"/>
      <c r="E884" s="24" t="n"/>
      <c r="F884" s="27">
        <f>IF(E884="","",IFERROR(INDEX(Lists!$H$4:$H$40,MATCH(E884,Lists!$F$4:$F$40,0)),"UNMAPPED"))</f>
        <v/>
      </c>
      <c r="G884" s="25" t="n"/>
      <c r="H884" s="25" t="n"/>
      <c r="I884" s="25" t="n"/>
      <c r="J884" s="25" t="n"/>
      <c r="K884" s="25" t="n"/>
      <c r="L884" s="29" t="n"/>
      <c r="M884" s="25" t="n"/>
      <c r="N884" s="30" t="n"/>
      <c r="O884" s="31">
        <f>IF(N884="","",IF(G884="Revenue",ROUND(N884*VATRate,2),0))</f>
        <v/>
      </c>
      <c r="P884" s="31">
        <f>IF(N884="","",N884+O884)</f>
        <v/>
      </c>
    </row>
    <row r="885">
      <c r="A885" s="26" t="n"/>
      <c r="B885" s="27">
        <f>IF(A885="","",IF(OR(A885&lt;MIN(Lists!$C$4:$C$15),A885&gt;MAX(Lists!$D$4:$D$15)),"No period",INDEX(Lists!$B$4:$B$15,MATCH(A885,Lists!$C$4:$C$15,1))))</f>
        <v/>
      </c>
      <c r="C885" s="28">
        <f>IF(B885="","",IFERROR(INDEX(Lists!$A$4:$A$15,MATCH(B885,Lists!$B$4:$B$15,0)),0))</f>
        <v/>
      </c>
      <c r="D885" s="25" t="n"/>
      <c r="E885" s="24" t="n"/>
      <c r="F885" s="27">
        <f>IF(E885="","",IFERROR(INDEX(Lists!$H$4:$H$40,MATCH(E885,Lists!$F$4:$F$40,0)),"UNMAPPED"))</f>
        <v/>
      </c>
      <c r="G885" s="25" t="n"/>
      <c r="H885" s="25" t="n"/>
      <c r="I885" s="25" t="n"/>
      <c r="J885" s="25" t="n"/>
      <c r="K885" s="25" t="n"/>
      <c r="L885" s="29" t="n"/>
      <c r="M885" s="25" t="n"/>
      <c r="N885" s="30" t="n"/>
      <c r="O885" s="31">
        <f>IF(N885="","",IF(G885="Revenue",ROUND(N885*VATRate,2),0))</f>
        <v/>
      </c>
      <c r="P885" s="31">
        <f>IF(N885="","",N885+O885)</f>
        <v/>
      </c>
    </row>
    <row r="886">
      <c r="A886" s="26" t="n"/>
      <c r="B886" s="27">
        <f>IF(A886="","",IF(OR(A886&lt;MIN(Lists!$C$4:$C$15),A886&gt;MAX(Lists!$D$4:$D$15)),"No period",INDEX(Lists!$B$4:$B$15,MATCH(A886,Lists!$C$4:$C$15,1))))</f>
        <v/>
      </c>
      <c r="C886" s="28">
        <f>IF(B886="","",IFERROR(INDEX(Lists!$A$4:$A$15,MATCH(B886,Lists!$B$4:$B$15,0)),0))</f>
        <v/>
      </c>
      <c r="D886" s="25" t="n"/>
      <c r="E886" s="24" t="n"/>
      <c r="F886" s="27">
        <f>IF(E886="","",IFERROR(INDEX(Lists!$H$4:$H$40,MATCH(E886,Lists!$F$4:$F$40,0)),"UNMAPPED"))</f>
        <v/>
      </c>
      <c r="G886" s="25" t="n"/>
      <c r="H886" s="25" t="n"/>
      <c r="I886" s="25" t="n"/>
      <c r="J886" s="25" t="n"/>
      <c r="K886" s="25" t="n"/>
      <c r="L886" s="29" t="n"/>
      <c r="M886" s="25" t="n"/>
      <c r="N886" s="30" t="n"/>
      <c r="O886" s="31">
        <f>IF(N886="","",IF(G886="Revenue",ROUND(N886*VATRate,2),0))</f>
        <v/>
      </c>
      <c r="P886" s="31">
        <f>IF(N886="","",N886+O886)</f>
        <v/>
      </c>
    </row>
    <row r="887">
      <c r="A887" s="26" t="n"/>
      <c r="B887" s="27">
        <f>IF(A887="","",IF(OR(A887&lt;MIN(Lists!$C$4:$C$15),A887&gt;MAX(Lists!$D$4:$D$15)),"No period",INDEX(Lists!$B$4:$B$15,MATCH(A887,Lists!$C$4:$C$15,1))))</f>
        <v/>
      </c>
      <c r="C887" s="28">
        <f>IF(B887="","",IFERROR(INDEX(Lists!$A$4:$A$15,MATCH(B887,Lists!$B$4:$B$15,0)),0))</f>
        <v/>
      </c>
      <c r="D887" s="25" t="n"/>
      <c r="E887" s="24" t="n"/>
      <c r="F887" s="27">
        <f>IF(E887="","",IFERROR(INDEX(Lists!$H$4:$H$40,MATCH(E887,Lists!$F$4:$F$40,0)),"UNMAPPED"))</f>
        <v/>
      </c>
      <c r="G887" s="25" t="n"/>
      <c r="H887" s="25" t="n"/>
      <c r="I887" s="25" t="n"/>
      <c r="J887" s="25" t="n"/>
      <c r="K887" s="25" t="n"/>
      <c r="L887" s="29" t="n"/>
      <c r="M887" s="25" t="n"/>
      <c r="N887" s="30" t="n"/>
      <c r="O887" s="31">
        <f>IF(N887="","",IF(G887="Revenue",ROUND(N887*VATRate,2),0))</f>
        <v/>
      </c>
      <c r="P887" s="31">
        <f>IF(N887="","",N887+O887)</f>
        <v/>
      </c>
    </row>
    <row r="888">
      <c r="A888" s="26" t="n"/>
      <c r="B888" s="27">
        <f>IF(A888="","",IF(OR(A888&lt;MIN(Lists!$C$4:$C$15),A888&gt;MAX(Lists!$D$4:$D$15)),"No period",INDEX(Lists!$B$4:$B$15,MATCH(A888,Lists!$C$4:$C$15,1))))</f>
        <v/>
      </c>
      <c r="C888" s="28">
        <f>IF(B888="","",IFERROR(INDEX(Lists!$A$4:$A$15,MATCH(B888,Lists!$B$4:$B$15,0)),0))</f>
        <v/>
      </c>
      <c r="D888" s="25" t="n"/>
      <c r="E888" s="24" t="n"/>
      <c r="F888" s="27">
        <f>IF(E888="","",IFERROR(INDEX(Lists!$H$4:$H$40,MATCH(E888,Lists!$F$4:$F$40,0)),"UNMAPPED"))</f>
        <v/>
      </c>
      <c r="G888" s="25" t="n"/>
      <c r="H888" s="25" t="n"/>
      <c r="I888" s="25" t="n"/>
      <c r="J888" s="25" t="n"/>
      <c r="K888" s="25" t="n"/>
      <c r="L888" s="29" t="n"/>
      <c r="M888" s="25" t="n"/>
      <c r="N888" s="30" t="n"/>
      <c r="O888" s="31">
        <f>IF(N888="","",IF(G888="Revenue",ROUND(N888*VATRate,2),0))</f>
        <v/>
      </c>
      <c r="P888" s="31">
        <f>IF(N888="","",N888+O888)</f>
        <v/>
      </c>
    </row>
    <row r="889">
      <c r="A889" s="26" t="n"/>
      <c r="B889" s="27">
        <f>IF(A889="","",IF(OR(A889&lt;MIN(Lists!$C$4:$C$15),A889&gt;MAX(Lists!$D$4:$D$15)),"No period",INDEX(Lists!$B$4:$B$15,MATCH(A889,Lists!$C$4:$C$15,1))))</f>
        <v/>
      </c>
      <c r="C889" s="28">
        <f>IF(B889="","",IFERROR(INDEX(Lists!$A$4:$A$15,MATCH(B889,Lists!$B$4:$B$15,0)),0))</f>
        <v/>
      </c>
      <c r="D889" s="25" t="n"/>
      <c r="E889" s="24" t="n"/>
      <c r="F889" s="27">
        <f>IF(E889="","",IFERROR(INDEX(Lists!$H$4:$H$40,MATCH(E889,Lists!$F$4:$F$40,0)),"UNMAPPED"))</f>
        <v/>
      </c>
      <c r="G889" s="25" t="n"/>
      <c r="H889" s="25" t="n"/>
      <c r="I889" s="25" t="n"/>
      <c r="J889" s="25" t="n"/>
      <c r="K889" s="25" t="n"/>
      <c r="L889" s="29" t="n"/>
      <c r="M889" s="25" t="n"/>
      <c r="N889" s="30" t="n"/>
      <c r="O889" s="31">
        <f>IF(N889="","",IF(G889="Revenue",ROUND(N889*VATRate,2),0))</f>
        <v/>
      </c>
      <c r="P889" s="31">
        <f>IF(N889="","",N889+O889)</f>
        <v/>
      </c>
    </row>
    <row r="890">
      <c r="A890" s="26" t="n"/>
      <c r="B890" s="27">
        <f>IF(A890="","",IF(OR(A890&lt;MIN(Lists!$C$4:$C$15),A890&gt;MAX(Lists!$D$4:$D$15)),"No period",INDEX(Lists!$B$4:$B$15,MATCH(A890,Lists!$C$4:$C$15,1))))</f>
        <v/>
      </c>
      <c r="C890" s="28">
        <f>IF(B890="","",IFERROR(INDEX(Lists!$A$4:$A$15,MATCH(B890,Lists!$B$4:$B$15,0)),0))</f>
        <v/>
      </c>
      <c r="D890" s="25" t="n"/>
      <c r="E890" s="24" t="n"/>
      <c r="F890" s="27">
        <f>IF(E890="","",IFERROR(INDEX(Lists!$H$4:$H$40,MATCH(E890,Lists!$F$4:$F$40,0)),"UNMAPPED"))</f>
        <v/>
      </c>
      <c r="G890" s="25" t="n"/>
      <c r="H890" s="25" t="n"/>
      <c r="I890" s="25" t="n"/>
      <c r="J890" s="25" t="n"/>
      <c r="K890" s="25" t="n"/>
      <c r="L890" s="29" t="n"/>
      <c r="M890" s="25" t="n"/>
      <c r="N890" s="30" t="n"/>
      <c r="O890" s="31">
        <f>IF(N890="","",IF(G890="Revenue",ROUND(N890*VATRate,2),0))</f>
        <v/>
      </c>
      <c r="P890" s="31">
        <f>IF(N890="","",N890+O890)</f>
        <v/>
      </c>
    </row>
    <row r="891">
      <c r="A891" s="26" t="n"/>
      <c r="B891" s="27">
        <f>IF(A891="","",IF(OR(A891&lt;MIN(Lists!$C$4:$C$15),A891&gt;MAX(Lists!$D$4:$D$15)),"No period",INDEX(Lists!$B$4:$B$15,MATCH(A891,Lists!$C$4:$C$15,1))))</f>
        <v/>
      </c>
      <c r="C891" s="28">
        <f>IF(B891="","",IFERROR(INDEX(Lists!$A$4:$A$15,MATCH(B891,Lists!$B$4:$B$15,0)),0))</f>
        <v/>
      </c>
      <c r="D891" s="25" t="n"/>
      <c r="E891" s="24" t="n"/>
      <c r="F891" s="27">
        <f>IF(E891="","",IFERROR(INDEX(Lists!$H$4:$H$40,MATCH(E891,Lists!$F$4:$F$40,0)),"UNMAPPED"))</f>
        <v/>
      </c>
      <c r="G891" s="25" t="n"/>
      <c r="H891" s="25" t="n"/>
      <c r="I891" s="25" t="n"/>
      <c r="J891" s="25" t="n"/>
      <c r="K891" s="25" t="n"/>
      <c r="L891" s="29" t="n"/>
      <c r="M891" s="25" t="n"/>
      <c r="N891" s="30" t="n"/>
      <c r="O891" s="31">
        <f>IF(N891="","",IF(G891="Revenue",ROUND(N891*VATRate,2),0))</f>
        <v/>
      </c>
      <c r="P891" s="31">
        <f>IF(N891="","",N891+O891)</f>
        <v/>
      </c>
    </row>
    <row r="892">
      <c r="A892" s="26" t="n"/>
      <c r="B892" s="27">
        <f>IF(A892="","",IF(OR(A892&lt;MIN(Lists!$C$4:$C$15),A892&gt;MAX(Lists!$D$4:$D$15)),"No period",INDEX(Lists!$B$4:$B$15,MATCH(A892,Lists!$C$4:$C$15,1))))</f>
        <v/>
      </c>
      <c r="C892" s="28">
        <f>IF(B892="","",IFERROR(INDEX(Lists!$A$4:$A$15,MATCH(B892,Lists!$B$4:$B$15,0)),0))</f>
        <v/>
      </c>
      <c r="D892" s="25" t="n"/>
      <c r="E892" s="24" t="n"/>
      <c r="F892" s="27">
        <f>IF(E892="","",IFERROR(INDEX(Lists!$H$4:$H$40,MATCH(E892,Lists!$F$4:$F$40,0)),"UNMAPPED"))</f>
        <v/>
      </c>
      <c r="G892" s="25" t="n"/>
      <c r="H892" s="25" t="n"/>
      <c r="I892" s="25" t="n"/>
      <c r="J892" s="25" t="n"/>
      <c r="K892" s="25" t="n"/>
      <c r="L892" s="29" t="n"/>
      <c r="M892" s="25" t="n"/>
      <c r="N892" s="30" t="n"/>
      <c r="O892" s="31">
        <f>IF(N892="","",IF(G892="Revenue",ROUND(N892*VATRate,2),0))</f>
        <v/>
      </c>
      <c r="P892" s="31">
        <f>IF(N892="","",N892+O892)</f>
        <v/>
      </c>
    </row>
    <row r="893">
      <c r="A893" s="26" t="n"/>
      <c r="B893" s="27">
        <f>IF(A893="","",IF(OR(A893&lt;MIN(Lists!$C$4:$C$15),A893&gt;MAX(Lists!$D$4:$D$15)),"No period",INDEX(Lists!$B$4:$B$15,MATCH(A893,Lists!$C$4:$C$15,1))))</f>
        <v/>
      </c>
      <c r="C893" s="28">
        <f>IF(B893="","",IFERROR(INDEX(Lists!$A$4:$A$15,MATCH(B893,Lists!$B$4:$B$15,0)),0))</f>
        <v/>
      </c>
      <c r="D893" s="25" t="n"/>
      <c r="E893" s="24" t="n"/>
      <c r="F893" s="27">
        <f>IF(E893="","",IFERROR(INDEX(Lists!$H$4:$H$40,MATCH(E893,Lists!$F$4:$F$40,0)),"UNMAPPED"))</f>
        <v/>
      </c>
      <c r="G893" s="25" t="n"/>
      <c r="H893" s="25" t="n"/>
      <c r="I893" s="25" t="n"/>
      <c r="J893" s="25" t="n"/>
      <c r="K893" s="25" t="n"/>
      <c r="L893" s="29" t="n"/>
      <c r="M893" s="25" t="n"/>
      <c r="N893" s="30" t="n"/>
      <c r="O893" s="31">
        <f>IF(N893="","",IF(G893="Revenue",ROUND(N893*VATRate,2),0))</f>
        <v/>
      </c>
      <c r="P893" s="31">
        <f>IF(N893="","",N893+O893)</f>
        <v/>
      </c>
    </row>
    <row r="894">
      <c r="A894" s="26" t="n"/>
      <c r="B894" s="27">
        <f>IF(A894="","",IF(OR(A894&lt;MIN(Lists!$C$4:$C$15),A894&gt;MAX(Lists!$D$4:$D$15)),"No period",INDEX(Lists!$B$4:$B$15,MATCH(A894,Lists!$C$4:$C$15,1))))</f>
        <v/>
      </c>
      <c r="C894" s="28">
        <f>IF(B894="","",IFERROR(INDEX(Lists!$A$4:$A$15,MATCH(B894,Lists!$B$4:$B$15,0)),0))</f>
        <v/>
      </c>
      <c r="D894" s="25" t="n"/>
      <c r="E894" s="24" t="n"/>
      <c r="F894" s="27">
        <f>IF(E894="","",IFERROR(INDEX(Lists!$H$4:$H$40,MATCH(E894,Lists!$F$4:$F$40,0)),"UNMAPPED"))</f>
        <v/>
      </c>
      <c r="G894" s="25" t="n"/>
      <c r="H894" s="25" t="n"/>
      <c r="I894" s="25" t="n"/>
      <c r="J894" s="25" t="n"/>
      <c r="K894" s="25" t="n"/>
      <c r="L894" s="29" t="n"/>
      <c r="M894" s="25" t="n"/>
      <c r="N894" s="30" t="n"/>
      <c r="O894" s="31">
        <f>IF(N894="","",IF(G894="Revenue",ROUND(N894*VATRate,2),0))</f>
        <v/>
      </c>
      <c r="P894" s="31">
        <f>IF(N894="","",N894+O894)</f>
        <v/>
      </c>
    </row>
    <row r="895">
      <c r="A895" s="26" t="n"/>
      <c r="B895" s="27">
        <f>IF(A895="","",IF(OR(A895&lt;MIN(Lists!$C$4:$C$15),A895&gt;MAX(Lists!$D$4:$D$15)),"No period",INDEX(Lists!$B$4:$B$15,MATCH(A895,Lists!$C$4:$C$15,1))))</f>
        <v/>
      </c>
      <c r="C895" s="28">
        <f>IF(B895="","",IFERROR(INDEX(Lists!$A$4:$A$15,MATCH(B895,Lists!$B$4:$B$15,0)),0))</f>
        <v/>
      </c>
      <c r="D895" s="25" t="n"/>
      <c r="E895" s="24" t="n"/>
      <c r="F895" s="27">
        <f>IF(E895="","",IFERROR(INDEX(Lists!$H$4:$H$40,MATCH(E895,Lists!$F$4:$F$40,0)),"UNMAPPED"))</f>
        <v/>
      </c>
      <c r="G895" s="25" t="n"/>
      <c r="H895" s="25" t="n"/>
      <c r="I895" s="25" t="n"/>
      <c r="J895" s="25" t="n"/>
      <c r="K895" s="25" t="n"/>
      <c r="L895" s="29" t="n"/>
      <c r="M895" s="25" t="n"/>
      <c r="N895" s="30" t="n"/>
      <c r="O895" s="31">
        <f>IF(N895="","",IF(G895="Revenue",ROUND(N895*VATRate,2),0))</f>
        <v/>
      </c>
      <c r="P895" s="31">
        <f>IF(N895="","",N895+O895)</f>
        <v/>
      </c>
    </row>
    <row r="896">
      <c r="A896" s="26" t="n"/>
      <c r="B896" s="27">
        <f>IF(A896="","",IF(OR(A896&lt;MIN(Lists!$C$4:$C$15),A896&gt;MAX(Lists!$D$4:$D$15)),"No period",INDEX(Lists!$B$4:$B$15,MATCH(A896,Lists!$C$4:$C$15,1))))</f>
        <v/>
      </c>
      <c r="C896" s="28">
        <f>IF(B896="","",IFERROR(INDEX(Lists!$A$4:$A$15,MATCH(B896,Lists!$B$4:$B$15,0)),0))</f>
        <v/>
      </c>
      <c r="D896" s="25" t="n"/>
      <c r="E896" s="24" t="n"/>
      <c r="F896" s="27">
        <f>IF(E896="","",IFERROR(INDEX(Lists!$H$4:$H$40,MATCH(E896,Lists!$F$4:$F$40,0)),"UNMAPPED"))</f>
        <v/>
      </c>
      <c r="G896" s="25" t="n"/>
      <c r="H896" s="25" t="n"/>
      <c r="I896" s="25" t="n"/>
      <c r="J896" s="25" t="n"/>
      <c r="K896" s="25" t="n"/>
      <c r="L896" s="29" t="n"/>
      <c r="M896" s="25" t="n"/>
      <c r="N896" s="30" t="n"/>
      <c r="O896" s="31">
        <f>IF(N896="","",IF(G896="Revenue",ROUND(N896*VATRate,2),0))</f>
        <v/>
      </c>
      <c r="P896" s="31">
        <f>IF(N896="","",N896+O896)</f>
        <v/>
      </c>
    </row>
    <row r="897">
      <c r="A897" s="26" t="n"/>
      <c r="B897" s="27">
        <f>IF(A897="","",IF(OR(A897&lt;MIN(Lists!$C$4:$C$15),A897&gt;MAX(Lists!$D$4:$D$15)),"No period",INDEX(Lists!$B$4:$B$15,MATCH(A897,Lists!$C$4:$C$15,1))))</f>
        <v/>
      </c>
      <c r="C897" s="28">
        <f>IF(B897="","",IFERROR(INDEX(Lists!$A$4:$A$15,MATCH(B897,Lists!$B$4:$B$15,0)),0))</f>
        <v/>
      </c>
      <c r="D897" s="25" t="n"/>
      <c r="E897" s="24" t="n"/>
      <c r="F897" s="27">
        <f>IF(E897="","",IFERROR(INDEX(Lists!$H$4:$H$40,MATCH(E897,Lists!$F$4:$F$40,0)),"UNMAPPED"))</f>
        <v/>
      </c>
      <c r="G897" s="25" t="n"/>
      <c r="H897" s="25" t="n"/>
      <c r="I897" s="25" t="n"/>
      <c r="J897" s="25" t="n"/>
      <c r="K897" s="25" t="n"/>
      <c r="L897" s="29" t="n"/>
      <c r="M897" s="25" t="n"/>
      <c r="N897" s="30" t="n"/>
      <c r="O897" s="31">
        <f>IF(N897="","",IF(G897="Revenue",ROUND(N897*VATRate,2),0))</f>
        <v/>
      </c>
      <c r="P897" s="31">
        <f>IF(N897="","",N897+O897)</f>
        <v/>
      </c>
    </row>
    <row r="898">
      <c r="A898" s="26" t="n"/>
      <c r="B898" s="27">
        <f>IF(A898="","",IF(OR(A898&lt;MIN(Lists!$C$4:$C$15),A898&gt;MAX(Lists!$D$4:$D$15)),"No period",INDEX(Lists!$B$4:$B$15,MATCH(A898,Lists!$C$4:$C$15,1))))</f>
        <v/>
      </c>
      <c r="C898" s="28">
        <f>IF(B898="","",IFERROR(INDEX(Lists!$A$4:$A$15,MATCH(B898,Lists!$B$4:$B$15,0)),0))</f>
        <v/>
      </c>
      <c r="D898" s="25" t="n"/>
      <c r="E898" s="24" t="n"/>
      <c r="F898" s="27">
        <f>IF(E898="","",IFERROR(INDEX(Lists!$H$4:$H$40,MATCH(E898,Lists!$F$4:$F$40,0)),"UNMAPPED"))</f>
        <v/>
      </c>
      <c r="G898" s="25" t="n"/>
      <c r="H898" s="25" t="n"/>
      <c r="I898" s="25" t="n"/>
      <c r="J898" s="25" t="n"/>
      <c r="K898" s="25" t="n"/>
      <c r="L898" s="29" t="n"/>
      <c r="M898" s="25" t="n"/>
      <c r="N898" s="30" t="n"/>
      <c r="O898" s="31">
        <f>IF(N898="","",IF(G898="Revenue",ROUND(N898*VATRate,2),0))</f>
        <v/>
      </c>
      <c r="P898" s="31">
        <f>IF(N898="","",N898+O898)</f>
        <v/>
      </c>
    </row>
    <row r="899">
      <c r="A899" s="26" t="n"/>
      <c r="B899" s="27">
        <f>IF(A899="","",IF(OR(A899&lt;MIN(Lists!$C$4:$C$15),A899&gt;MAX(Lists!$D$4:$D$15)),"No period",INDEX(Lists!$B$4:$B$15,MATCH(A899,Lists!$C$4:$C$15,1))))</f>
        <v/>
      </c>
      <c r="C899" s="28">
        <f>IF(B899="","",IFERROR(INDEX(Lists!$A$4:$A$15,MATCH(B899,Lists!$B$4:$B$15,0)),0))</f>
        <v/>
      </c>
      <c r="D899" s="25" t="n"/>
      <c r="E899" s="24" t="n"/>
      <c r="F899" s="27">
        <f>IF(E899="","",IFERROR(INDEX(Lists!$H$4:$H$40,MATCH(E899,Lists!$F$4:$F$40,0)),"UNMAPPED"))</f>
        <v/>
      </c>
      <c r="G899" s="25" t="n"/>
      <c r="H899" s="25" t="n"/>
      <c r="I899" s="25" t="n"/>
      <c r="J899" s="25" t="n"/>
      <c r="K899" s="25" t="n"/>
      <c r="L899" s="29" t="n"/>
      <c r="M899" s="25" t="n"/>
      <c r="N899" s="30" t="n"/>
      <c r="O899" s="31">
        <f>IF(N899="","",IF(G899="Revenue",ROUND(N899*VATRate,2),0))</f>
        <v/>
      </c>
      <c r="P899" s="31">
        <f>IF(N899="","",N899+O899)</f>
        <v/>
      </c>
    </row>
    <row r="900">
      <c r="A900" s="26" t="n"/>
      <c r="B900" s="27">
        <f>IF(A900="","",IF(OR(A900&lt;MIN(Lists!$C$4:$C$15),A900&gt;MAX(Lists!$D$4:$D$15)),"No period",INDEX(Lists!$B$4:$B$15,MATCH(A900,Lists!$C$4:$C$15,1))))</f>
        <v/>
      </c>
      <c r="C900" s="28">
        <f>IF(B900="","",IFERROR(INDEX(Lists!$A$4:$A$15,MATCH(B900,Lists!$B$4:$B$15,0)),0))</f>
        <v/>
      </c>
      <c r="D900" s="25" t="n"/>
      <c r="E900" s="24" t="n"/>
      <c r="F900" s="27">
        <f>IF(E900="","",IFERROR(INDEX(Lists!$H$4:$H$40,MATCH(E900,Lists!$F$4:$F$40,0)),"UNMAPPED"))</f>
        <v/>
      </c>
      <c r="G900" s="25" t="n"/>
      <c r="H900" s="25" t="n"/>
      <c r="I900" s="25" t="n"/>
      <c r="J900" s="25" t="n"/>
      <c r="K900" s="25" t="n"/>
      <c r="L900" s="29" t="n"/>
      <c r="M900" s="25" t="n"/>
      <c r="N900" s="30" t="n"/>
      <c r="O900" s="31">
        <f>IF(N900="","",IF(G900="Revenue",ROUND(N900*VATRate,2),0))</f>
        <v/>
      </c>
      <c r="P900" s="31">
        <f>IF(N900="","",N900+O900)</f>
        <v/>
      </c>
    </row>
    <row r="901">
      <c r="A901" s="26" t="n"/>
      <c r="B901" s="27">
        <f>IF(A901="","",IF(OR(A901&lt;MIN(Lists!$C$4:$C$15),A901&gt;MAX(Lists!$D$4:$D$15)),"No period",INDEX(Lists!$B$4:$B$15,MATCH(A901,Lists!$C$4:$C$15,1))))</f>
        <v/>
      </c>
      <c r="C901" s="28">
        <f>IF(B901="","",IFERROR(INDEX(Lists!$A$4:$A$15,MATCH(B901,Lists!$B$4:$B$15,0)),0))</f>
        <v/>
      </c>
      <c r="D901" s="25" t="n"/>
      <c r="E901" s="24" t="n"/>
      <c r="F901" s="27">
        <f>IF(E901="","",IFERROR(INDEX(Lists!$H$4:$H$40,MATCH(E901,Lists!$F$4:$F$40,0)),"UNMAPPED"))</f>
        <v/>
      </c>
      <c r="G901" s="25" t="n"/>
      <c r="H901" s="25" t="n"/>
      <c r="I901" s="25" t="n"/>
      <c r="J901" s="25" t="n"/>
      <c r="K901" s="25" t="n"/>
      <c r="L901" s="29" t="n"/>
      <c r="M901" s="25" t="n"/>
      <c r="N901" s="30" t="n"/>
      <c r="O901" s="31">
        <f>IF(N901="","",IF(G901="Revenue",ROUND(N901*VATRate,2),0))</f>
        <v/>
      </c>
      <c r="P901" s="31">
        <f>IF(N901="","",N901+O901)</f>
        <v/>
      </c>
    </row>
    <row r="902">
      <c r="A902" s="26" t="n"/>
      <c r="B902" s="27">
        <f>IF(A902="","",IF(OR(A902&lt;MIN(Lists!$C$4:$C$15),A902&gt;MAX(Lists!$D$4:$D$15)),"No period",INDEX(Lists!$B$4:$B$15,MATCH(A902,Lists!$C$4:$C$15,1))))</f>
        <v/>
      </c>
      <c r="C902" s="28">
        <f>IF(B902="","",IFERROR(INDEX(Lists!$A$4:$A$15,MATCH(B902,Lists!$B$4:$B$15,0)),0))</f>
        <v/>
      </c>
      <c r="D902" s="25" t="n"/>
      <c r="E902" s="24" t="n"/>
      <c r="F902" s="27">
        <f>IF(E902="","",IFERROR(INDEX(Lists!$H$4:$H$40,MATCH(E902,Lists!$F$4:$F$40,0)),"UNMAPPED"))</f>
        <v/>
      </c>
      <c r="G902" s="25" t="n"/>
      <c r="H902" s="25" t="n"/>
      <c r="I902" s="25" t="n"/>
      <c r="J902" s="25" t="n"/>
      <c r="K902" s="25" t="n"/>
      <c r="L902" s="29" t="n"/>
      <c r="M902" s="25" t="n"/>
      <c r="N902" s="30" t="n"/>
      <c r="O902" s="31">
        <f>IF(N902="","",IF(G902="Revenue",ROUND(N902*VATRate,2),0))</f>
        <v/>
      </c>
      <c r="P902" s="31">
        <f>IF(N902="","",N902+O902)</f>
        <v/>
      </c>
    </row>
    <row r="903">
      <c r="A903" s="26" t="n"/>
      <c r="B903" s="27">
        <f>IF(A903="","",IF(OR(A903&lt;MIN(Lists!$C$4:$C$15),A903&gt;MAX(Lists!$D$4:$D$15)),"No period",INDEX(Lists!$B$4:$B$15,MATCH(A903,Lists!$C$4:$C$15,1))))</f>
        <v/>
      </c>
      <c r="C903" s="28">
        <f>IF(B903="","",IFERROR(INDEX(Lists!$A$4:$A$15,MATCH(B903,Lists!$B$4:$B$15,0)),0))</f>
        <v/>
      </c>
      <c r="D903" s="25" t="n"/>
      <c r="E903" s="24" t="n"/>
      <c r="F903" s="27">
        <f>IF(E903="","",IFERROR(INDEX(Lists!$H$4:$H$40,MATCH(E903,Lists!$F$4:$F$40,0)),"UNMAPPED"))</f>
        <v/>
      </c>
      <c r="G903" s="25" t="n"/>
      <c r="H903" s="25" t="n"/>
      <c r="I903" s="25" t="n"/>
      <c r="J903" s="25" t="n"/>
      <c r="K903" s="25" t="n"/>
      <c r="L903" s="29" t="n"/>
      <c r="M903" s="25" t="n"/>
      <c r="N903" s="30" t="n"/>
      <c r="O903" s="31">
        <f>IF(N903="","",IF(G903="Revenue",ROUND(N903*VATRate,2),0))</f>
        <v/>
      </c>
      <c r="P903" s="31">
        <f>IF(N903="","",N903+O903)</f>
        <v/>
      </c>
    </row>
    <row r="904">
      <c r="A904" s="26" t="n"/>
      <c r="B904" s="27">
        <f>IF(A904="","",IF(OR(A904&lt;MIN(Lists!$C$4:$C$15),A904&gt;MAX(Lists!$D$4:$D$15)),"No period",INDEX(Lists!$B$4:$B$15,MATCH(A904,Lists!$C$4:$C$15,1))))</f>
        <v/>
      </c>
      <c r="C904" s="28">
        <f>IF(B904="","",IFERROR(INDEX(Lists!$A$4:$A$15,MATCH(B904,Lists!$B$4:$B$15,0)),0))</f>
        <v/>
      </c>
      <c r="D904" s="25" t="n"/>
      <c r="E904" s="24" t="n"/>
      <c r="F904" s="27">
        <f>IF(E904="","",IFERROR(INDEX(Lists!$H$4:$H$40,MATCH(E904,Lists!$F$4:$F$40,0)),"UNMAPPED"))</f>
        <v/>
      </c>
      <c r="G904" s="25" t="n"/>
      <c r="H904" s="25" t="n"/>
      <c r="I904" s="25" t="n"/>
      <c r="J904" s="25" t="n"/>
      <c r="K904" s="25" t="n"/>
      <c r="L904" s="29" t="n"/>
      <c r="M904" s="25" t="n"/>
      <c r="N904" s="30" t="n"/>
      <c r="O904" s="31">
        <f>IF(N904="","",IF(G904="Revenue",ROUND(N904*VATRate,2),0))</f>
        <v/>
      </c>
      <c r="P904" s="31">
        <f>IF(N904="","",N904+O904)</f>
        <v/>
      </c>
    </row>
    <row r="905">
      <c r="A905" s="26" t="n"/>
      <c r="B905" s="27">
        <f>IF(A905="","",IF(OR(A905&lt;MIN(Lists!$C$4:$C$15),A905&gt;MAX(Lists!$D$4:$D$15)),"No period",INDEX(Lists!$B$4:$B$15,MATCH(A905,Lists!$C$4:$C$15,1))))</f>
        <v/>
      </c>
      <c r="C905" s="28">
        <f>IF(B905="","",IFERROR(INDEX(Lists!$A$4:$A$15,MATCH(B905,Lists!$B$4:$B$15,0)),0))</f>
        <v/>
      </c>
      <c r="D905" s="25" t="n"/>
      <c r="E905" s="24" t="n"/>
      <c r="F905" s="27">
        <f>IF(E905="","",IFERROR(INDEX(Lists!$H$4:$H$40,MATCH(E905,Lists!$F$4:$F$40,0)),"UNMAPPED"))</f>
        <v/>
      </c>
      <c r="G905" s="25" t="n"/>
      <c r="H905" s="25" t="n"/>
      <c r="I905" s="25" t="n"/>
      <c r="J905" s="25" t="n"/>
      <c r="K905" s="25" t="n"/>
      <c r="L905" s="29" t="n"/>
      <c r="M905" s="25" t="n"/>
      <c r="N905" s="30" t="n"/>
      <c r="O905" s="31">
        <f>IF(N905="","",IF(G905="Revenue",ROUND(N905*VATRate,2),0))</f>
        <v/>
      </c>
      <c r="P905" s="31">
        <f>IF(N905="","",N905+O905)</f>
        <v/>
      </c>
    </row>
    <row r="906">
      <c r="A906" s="26" t="n"/>
      <c r="B906" s="27">
        <f>IF(A906="","",IF(OR(A906&lt;MIN(Lists!$C$4:$C$15),A906&gt;MAX(Lists!$D$4:$D$15)),"No period",INDEX(Lists!$B$4:$B$15,MATCH(A906,Lists!$C$4:$C$15,1))))</f>
        <v/>
      </c>
      <c r="C906" s="28">
        <f>IF(B906="","",IFERROR(INDEX(Lists!$A$4:$A$15,MATCH(B906,Lists!$B$4:$B$15,0)),0))</f>
        <v/>
      </c>
      <c r="D906" s="25" t="n"/>
      <c r="E906" s="24" t="n"/>
      <c r="F906" s="27">
        <f>IF(E906="","",IFERROR(INDEX(Lists!$H$4:$H$40,MATCH(E906,Lists!$F$4:$F$40,0)),"UNMAPPED"))</f>
        <v/>
      </c>
      <c r="G906" s="25" t="n"/>
      <c r="H906" s="25" t="n"/>
      <c r="I906" s="25" t="n"/>
      <c r="J906" s="25" t="n"/>
      <c r="K906" s="25" t="n"/>
      <c r="L906" s="29" t="n"/>
      <c r="M906" s="25" t="n"/>
      <c r="N906" s="30" t="n"/>
      <c r="O906" s="31">
        <f>IF(N906="","",IF(G906="Revenue",ROUND(N906*VATRate,2),0))</f>
        <v/>
      </c>
      <c r="P906" s="31">
        <f>IF(N906="","",N906+O906)</f>
        <v/>
      </c>
    </row>
    <row r="907">
      <c r="A907" s="26" t="n"/>
      <c r="B907" s="27">
        <f>IF(A907="","",IF(OR(A907&lt;MIN(Lists!$C$4:$C$15),A907&gt;MAX(Lists!$D$4:$D$15)),"No period",INDEX(Lists!$B$4:$B$15,MATCH(A907,Lists!$C$4:$C$15,1))))</f>
        <v/>
      </c>
      <c r="C907" s="28">
        <f>IF(B907="","",IFERROR(INDEX(Lists!$A$4:$A$15,MATCH(B907,Lists!$B$4:$B$15,0)),0))</f>
        <v/>
      </c>
      <c r="D907" s="25" t="n"/>
      <c r="E907" s="24" t="n"/>
      <c r="F907" s="27">
        <f>IF(E907="","",IFERROR(INDEX(Lists!$H$4:$H$40,MATCH(E907,Lists!$F$4:$F$40,0)),"UNMAPPED"))</f>
        <v/>
      </c>
      <c r="G907" s="25" t="n"/>
      <c r="H907" s="25" t="n"/>
      <c r="I907" s="25" t="n"/>
      <c r="J907" s="25" t="n"/>
      <c r="K907" s="25" t="n"/>
      <c r="L907" s="29" t="n"/>
      <c r="M907" s="25" t="n"/>
      <c r="N907" s="30" t="n"/>
      <c r="O907" s="31">
        <f>IF(N907="","",IF(G907="Revenue",ROUND(N907*VATRate,2),0))</f>
        <v/>
      </c>
      <c r="P907" s="31">
        <f>IF(N907="","",N907+O907)</f>
        <v/>
      </c>
    </row>
    <row r="908">
      <c r="A908" s="26" t="n"/>
      <c r="B908" s="27">
        <f>IF(A908="","",IF(OR(A908&lt;MIN(Lists!$C$4:$C$15),A908&gt;MAX(Lists!$D$4:$D$15)),"No period",INDEX(Lists!$B$4:$B$15,MATCH(A908,Lists!$C$4:$C$15,1))))</f>
        <v/>
      </c>
      <c r="C908" s="28">
        <f>IF(B908="","",IFERROR(INDEX(Lists!$A$4:$A$15,MATCH(B908,Lists!$B$4:$B$15,0)),0))</f>
        <v/>
      </c>
      <c r="D908" s="25" t="n"/>
      <c r="E908" s="24" t="n"/>
      <c r="F908" s="27">
        <f>IF(E908="","",IFERROR(INDEX(Lists!$H$4:$H$40,MATCH(E908,Lists!$F$4:$F$40,0)),"UNMAPPED"))</f>
        <v/>
      </c>
      <c r="G908" s="25" t="n"/>
      <c r="H908" s="25" t="n"/>
      <c r="I908" s="25" t="n"/>
      <c r="J908" s="25" t="n"/>
      <c r="K908" s="25" t="n"/>
      <c r="L908" s="29" t="n"/>
      <c r="M908" s="25" t="n"/>
      <c r="N908" s="30" t="n"/>
      <c r="O908" s="31">
        <f>IF(N908="","",IF(G908="Revenue",ROUND(N908*VATRate,2),0))</f>
        <v/>
      </c>
      <c r="P908" s="31">
        <f>IF(N908="","",N908+O908)</f>
        <v/>
      </c>
    </row>
    <row r="909">
      <c r="A909" s="26" t="n"/>
      <c r="B909" s="27">
        <f>IF(A909="","",IF(OR(A909&lt;MIN(Lists!$C$4:$C$15),A909&gt;MAX(Lists!$D$4:$D$15)),"No period",INDEX(Lists!$B$4:$B$15,MATCH(A909,Lists!$C$4:$C$15,1))))</f>
        <v/>
      </c>
      <c r="C909" s="28">
        <f>IF(B909="","",IFERROR(INDEX(Lists!$A$4:$A$15,MATCH(B909,Lists!$B$4:$B$15,0)),0))</f>
        <v/>
      </c>
      <c r="D909" s="25" t="n"/>
      <c r="E909" s="24" t="n"/>
      <c r="F909" s="27">
        <f>IF(E909="","",IFERROR(INDEX(Lists!$H$4:$H$40,MATCH(E909,Lists!$F$4:$F$40,0)),"UNMAPPED"))</f>
        <v/>
      </c>
      <c r="G909" s="25" t="n"/>
      <c r="H909" s="25" t="n"/>
      <c r="I909" s="25" t="n"/>
      <c r="J909" s="25" t="n"/>
      <c r="K909" s="25" t="n"/>
      <c r="L909" s="29" t="n"/>
      <c r="M909" s="25" t="n"/>
      <c r="N909" s="30" t="n"/>
      <c r="O909" s="31">
        <f>IF(N909="","",IF(G909="Revenue",ROUND(N909*VATRate,2),0))</f>
        <v/>
      </c>
      <c r="P909" s="31">
        <f>IF(N909="","",N909+O909)</f>
        <v/>
      </c>
    </row>
    <row r="910">
      <c r="A910" s="26" t="n"/>
      <c r="B910" s="27">
        <f>IF(A910="","",IF(OR(A910&lt;MIN(Lists!$C$4:$C$15),A910&gt;MAX(Lists!$D$4:$D$15)),"No period",INDEX(Lists!$B$4:$B$15,MATCH(A910,Lists!$C$4:$C$15,1))))</f>
        <v/>
      </c>
      <c r="C910" s="28">
        <f>IF(B910="","",IFERROR(INDEX(Lists!$A$4:$A$15,MATCH(B910,Lists!$B$4:$B$15,0)),0))</f>
        <v/>
      </c>
      <c r="D910" s="25" t="n"/>
      <c r="E910" s="24" t="n"/>
      <c r="F910" s="27">
        <f>IF(E910="","",IFERROR(INDEX(Lists!$H$4:$H$40,MATCH(E910,Lists!$F$4:$F$40,0)),"UNMAPPED"))</f>
        <v/>
      </c>
      <c r="G910" s="25" t="n"/>
      <c r="H910" s="25" t="n"/>
      <c r="I910" s="25" t="n"/>
      <c r="J910" s="25" t="n"/>
      <c r="K910" s="25" t="n"/>
      <c r="L910" s="29" t="n"/>
      <c r="M910" s="25" t="n"/>
      <c r="N910" s="30" t="n"/>
      <c r="O910" s="31">
        <f>IF(N910="","",IF(G910="Revenue",ROUND(N910*VATRate,2),0))</f>
        <v/>
      </c>
      <c r="P910" s="31">
        <f>IF(N910="","",N910+O910)</f>
        <v/>
      </c>
    </row>
    <row r="911">
      <c r="A911" s="26" t="n"/>
      <c r="B911" s="27">
        <f>IF(A911="","",IF(OR(A911&lt;MIN(Lists!$C$4:$C$15),A911&gt;MAX(Lists!$D$4:$D$15)),"No period",INDEX(Lists!$B$4:$B$15,MATCH(A911,Lists!$C$4:$C$15,1))))</f>
        <v/>
      </c>
      <c r="C911" s="28">
        <f>IF(B911="","",IFERROR(INDEX(Lists!$A$4:$A$15,MATCH(B911,Lists!$B$4:$B$15,0)),0))</f>
        <v/>
      </c>
      <c r="D911" s="25" t="n"/>
      <c r="E911" s="24" t="n"/>
      <c r="F911" s="27">
        <f>IF(E911="","",IFERROR(INDEX(Lists!$H$4:$H$40,MATCH(E911,Lists!$F$4:$F$40,0)),"UNMAPPED"))</f>
        <v/>
      </c>
      <c r="G911" s="25" t="n"/>
      <c r="H911" s="25" t="n"/>
      <c r="I911" s="25" t="n"/>
      <c r="J911" s="25" t="n"/>
      <c r="K911" s="25" t="n"/>
      <c r="L911" s="29" t="n"/>
      <c r="M911" s="25" t="n"/>
      <c r="N911" s="30" t="n"/>
      <c r="O911" s="31">
        <f>IF(N911="","",IF(G911="Revenue",ROUND(N911*VATRate,2),0))</f>
        <v/>
      </c>
      <c r="P911" s="31">
        <f>IF(N911="","",N911+O911)</f>
        <v/>
      </c>
    </row>
    <row r="912">
      <c r="A912" s="26" t="n"/>
      <c r="B912" s="27">
        <f>IF(A912="","",IF(OR(A912&lt;MIN(Lists!$C$4:$C$15),A912&gt;MAX(Lists!$D$4:$D$15)),"No period",INDEX(Lists!$B$4:$B$15,MATCH(A912,Lists!$C$4:$C$15,1))))</f>
        <v/>
      </c>
      <c r="C912" s="28">
        <f>IF(B912="","",IFERROR(INDEX(Lists!$A$4:$A$15,MATCH(B912,Lists!$B$4:$B$15,0)),0))</f>
        <v/>
      </c>
      <c r="D912" s="25" t="n"/>
      <c r="E912" s="24" t="n"/>
      <c r="F912" s="27">
        <f>IF(E912="","",IFERROR(INDEX(Lists!$H$4:$H$40,MATCH(E912,Lists!$F$4:$F$40,0)),"UNMAPPED"))</f>
        <v/>
      </c>
      <c r="G912" s="25" t="n"/>
      <c r="H912" s="25" t="n"/>
      <c r="I912" s="25" t="n"/>
      <c r="J912" s="25" t="n"/>
      <c r="K912" s="25" t="n"/>
      <c r="L912" s="29" t="n"/>
      <c r="M912" s="25" t="n"/>
      <c r="N912" s="30" t="n"/>
      <c r="O912" s="31">
        <f>IF(N912="","",IF(G912="Revenue",ROUND(N912*VATRate,2),0))</f>
        <v/>
      </c>
      <c r="P912" s="31">
        <f>IF(N912="","",N912+O912)</f>
        <v/>
      </c>
    </row>
    <row r="913">
      <c r="A913" s="26" t="n"/>
      <c r="B913" s="27">
        <f>IF(A913="","",IF(OR(A913&lt;MIN(Lists!$C$4:$C$15),A913&gt;MAX(Lists!$D$4:$D$15)),"No period",INDEX(Lists!$B$4:$B$15,MATCH(A913,Lists!$C$4:$C$15,1))))</f>
        <v/>
      </c>
      <c r="C913" s="28">
        <f>IF(B913="","",IFERROR(INDEX(Lists!$A$4:$A$15,MATCH(B913,Lists!$B$4:$B$15,0)),0))</f>
        <v/>
      </c>
      <c r="D913" s="25" t="n"/>
      <c r="E913" s="24" t="n"/>
      <c r="F913" s="27">
        <f>IF(E913="","",IFERROR(INDEX(Lists!$H$4:$H$40,MATCH(E913,Lists!$F$4:$F$40,0)),"UNMAPPED"))</f>
        <v/>
      </c>
      <c r="G913" s="25" t="n"/>
      <c r="H913" s="25" t="n"/>
      <c r="I913" s="25" t="n"/>
      <c r="J913" s="25" t="n"/>
      <c r="K913" s="25" t="n"/>
      <c r="L913" s="29" t="n"/>
      <c r="M913" s="25" t="n"/>
      <c r="N913" s="30" t="n"/>
      <c r="O913" s="31">
        <f>IF(N913="","",IF(G913="Revenue",ROUND(N913*VATRate,2),0))</f>
        <v/>
      </c>
      <c r="P913" s="31">
        <f>IF(N913="","",N913+O913)</f>
        <v/>
      </c>
    </row>
    <row r="914">
      <c r="A914" s="26" t="n"/>
      <c r="B914" s="27">
        <f>IF(A914="","",IF(OR(A914&lt;MIN(Lists!$C$4:$C$15),A914&gt;MAX(Lists!$D$4:$D$15)),"No period",INDEX(Lists!$B$4:$B$15,MATCH(A914,Lists!$C$4:$C$15,1))))</f>
        <v/>
      </c>
      <c r="C914" s="28">
        <f>IF(B914="","",IFERROR(INDEX(Lists!$A$4:$A$15,MATCH(B914,Lists!$B$4:$B$15,0)),0))</f>
        <v/>
      </c>
      <c r="D914" s="25" t="n"/>
      <c r="E914" s="24" t="n"/>
      <c r="F914" s="27">
        <f>IF(E914="","",IFERROR(INDEX(Lists!$H$4:$H$40,MATCH(E914,Lists!$F$4:$F$40,0)),"UNMAPPED"))</f>
        <v/>
      </c>
      <c r="G914" s="25" t="n"/>
      <c r="H914" s="25" t="n"/>
      <c r="I914" s="25" t="n"/>
      <c r="J914" s="25" t="n"/>
      <c r="K914" s="25" t="n"/>
      <c r="L914" s="29" t="n"/>
      <c r="M914" s="25" t="n"/>
      <c r="N914" s="30" t="n"/>
      <c r="O914" s="31">
        <f>IF(N914="","",IF(G914="Revenue",ROUND(N914*VATRate,2),0))</f>
        <v/>
      </c>
      <c r="P914" s="31">
        <f>IF(N914="","",N914+O914)</f>
        <v/>
      </c>
    </row>
    <row r="915">
      <c r="A915" s="26" t="n"/>
      <c r="B915" s="27">
        <f>IF(A915="","",IF(OR(A915&lt;MIN(Lists!$C$4:$C$15),A915&gt;MAX(Lists!$D$4:$D$15)),"No period",INDEX(Lists!$B$4:$B$15,MATCH(A915,Lists!$C$4:$C$15,1))))</f>
        <v/>
      </c>
      <c r="C915" s="28">
        <f>IF(B915="","",IFERROR(INDEX(Lists!$A$4:$A$15,MATCH(B915,Lists!$B$4:$B$15,0)),0))</f>
        <v/>
      </c>
      <c r="D915" s="25" t="n"/>
      <c r="E915" s="24" t="n"/>
      <c r="F915" s="27">
        <f>IF(E915="","",IFERROR(INDEX(Lists!$H$4:$H$40,MATCH(E915,Lists!$F$4:$F$40,0)),"UNMAPPED"))</f>
        <v/>
      </c>
      <c r="G915" s="25" t="n"/>
      <c r="H915" s="25" t="n"/>
      <c r="I915" s="25" t="n"/>
      <c r="J915" s="25" t="n"/>
      <c r="K915" s="25" t="n"/>
      <c r="L915" s="29" t="n"/>
      <c r="M915" s="25" t="n"/>
      <c r="N915" s="30" t="n"/>
      <c r="O915" s="31">
        <f>IF(N915="","",IF(G915="Revenue",ROUND(N915*VATRate,2),0))</f>
        <v/>
      </c>
      <c r="P915" s="31">
        <f>IF(N915="","",N915+O915)</f>
        <v/>
      </c>
    </row>
    <row r="916">
      <c r="A916" s="26" t="n"/>
      <c r="B916" s="27">
        <f>IF(A916="","",IF(OR(A916&lt;MIN(Lists!$C$4:$C$15),A916&gt;MAX(Lists!$D$4:$D$15)),"No period",INDEX(Lists!$B$4:$B$15,MATCH(A916,Lists!$C$4:$C$15,1))))</f>
        <v/>
      </c>
      <c r="C916" s="28">
        <f>IF(B916="","",IFERROR(INDEX(Lists!$A$4:$A$15,MATCH(B916,Lists!$B$4:$B$15,0)),0))</f>
        <v/>
      </c>
      <c r="D916" s="25" t="n"/>
      <c r="E916" s="24" t="n"/>
      <c r="F916" s="27">
        <f>IF(E916="","",IFERROR(INDEX(Lists!$H$4:$H$40,MATCH(E916,Lists!$F$4:$F$40,0)),"UNMAPPED"))</f>
        <v/>
      </c>
      <c r="G916" s="25" t="n"/>
      <c r="H916" s="25" t="n"/>
      <c r="I916" s="25" t="n"/>
      <c r="J916" s="25" t="n"/>
      <c r="K916" s="25" t="n"/>
      <c r="L916" s="29" t="n"/>
      <c r="M916" s="25" t="n"/>
      <c r="N916" s="30" t="n"/>
      <c r="O916" s="31">
        <f>IF(N916="","",IF(G916="Revenue",ROUND(N916*VATRate,2),0))</f>
        <v/>
      </c>
      <c r="P916" s="31">
        <f>IF(N916="","",N916+O916)</f>
        <v/>
      </c>
    </row>
    <row r="917">
      <c r="A917" s="26" t="n"/>
      <c r="B917" s="27">
        <f>IF(A917="","",IF(OR(A917&lt;MIN(Lists!$C$4:$C$15),A917&gt;MAX(Lists!$D$4:$D$15)),"No period",INDEX(Lists!$B$4:$B$15,MATCH(A917,Lists!$C$4:$C$15,1))))</f>
        <v/>
      </c>
      <c r="C917" s="28">
        <f>IF(B917="","",IFERROR(INDEX(Lists!$A$4:$A$15,MATCH(B917,Lists!$B$4:$B$15,0)),0))</f>
        <v/>
      </c>
      <c r="D917" s="25" t="n"/>
      <c r="E917" s="24" t="n"/>
      <c r="F917" s="27">
        <f>IF(E917="","",IFERROR(INDEX(Lists!$H$4:$H$40,MATCH(E917,Lists!$F$4:$F$40,0)),"UNMAPPED"))</f>
        <v/>
      </c>
      <c r="G917" s="25" t="n"/>
      <c r="H917" s="25" t="n"/>
      <c r="I917" s="25" t="n"/>
      <c r="J917" s="25" t="n"/>
      <c r="K917" s="25" t="n"/>
      <c r="L917" s="29" t="n"/>
      <c r="M917" s="25" t="n"/>
      <c r="N917" s="30" t="n"/>
      <c r="O917" s="31">
        <f>IF(N917="","",IF(G917="Revenue",ROUND(N917*VATRate,2),0))</f>
        <v/>
      </c>
      <c r="P917" s="31">
        <f>IF(N917="","",N917+O917)</f>
        <v/>
      </c>
    </row>
    <row r="918">
      <c r="A918" s="26" t="n"/>
      <c r="B918" s="27">
        <f>IF(A918="","",IF(OR(A918&lt;MIN(Lists!$C$4:$C$15),A918&gt;MAX(Lists!$D$4:$D$15)),"No period",INDEX(Lists!$B$4:$B$15,MATCH(A918,Lists!$C$4:$C$15,1))))</f>
        <v/>
      </c>
      <c r="C918" s="28">
        <f>IF(B918="","",IFERROR(INDEX(Lists!$A$4:$A$15,MATCH(B918,Lists!$B$4:$B$15,0)),0))</f>
        <v/>
      </c>
      <c r="D918" s="25" t="n"/>
      <c r="E918" s="24" t="n"/>
      <c r="F918" s="27">
        <f>IF(E918="","",IFERROR(INDEX(Lists!$H$4:$H$40,MATCH(E918,Lists!$F$4:$F$40,0)),"UNMAPPED"))</f>
        <v/>
      </c>
      <c r="G918" s="25" t="n"/>
      <c r="H918" s="25" t="n"/>
      <c r="I918" s="25" t="n"/>
      <c r="J918" s="25" t="n"/>
      <c r="K918" s="25" t="n"/>
      <c r="L918" s="29" t="n"/>
      <c r="M918" s="25" t="n"/>
      <c r="N918" s="30" t="n"/>
      <c r="O918" s="31">
        <f>IF(N918="","",IF(G918="Revenue",ROUND(N918*VATRate,2),0))</f>
        <v/>
      </c>
      <c r="P918" s="31">
        <f>IF(N918="","",N918+O918)</f>
        <v/>
      </c>
    </row>
    <row r="919">
      <c r="A919" s="26" t="n"/>
      <c r="B919" s="27">
        <f>IF(A919="","",IF(OR(A919&lt;MIN(Lists!$C$4:$C$15),A919&gt;MAX(Lists!$D$4:$D$15)),"No period",INDEX(Lists!$B$4:$B$15,MATCH(A919,Lists!$C$4:$C$15,1))))</f>
        <v/>
      </c>
      <c r="C919" s="28">
        <f>IF(B919="","",IFERROR(INDEX(Lists!$A$4:$A$15,MATCH(B919,Lists!$B$4:$B$15,0)),0))</f>
        <v/>
      </c>
      <c r="D919" s="25" t="n"/>
      <c r="E919" s="24" t="n"/>
      <c r="F919" s="27">
        <f>IF(E919="","",IFERROR(INDEX(Lists!$H$4:$H$40,MATCH(E919,Lists!$F$4:$F$40,0)),"UNMAPPED"))</f>
        <v/>
      </c>
      <c r="G919" s="25" t="n"/>
      <c r="H919" s="25" t="n"/>
      <c r="I919" s="25" t="n"/>
      <c r="J919" s="25" t="n"/>
      <c r="K919" s="25" t="n"/>
      <c r="L919" s="29" t="n"/>
      <c r="M919" s="25" t="n"/>
      <c r="N919" s="30" t="n"/>
      <c r="O919" s="31">
        <f>IF(N919="","",IF(G919="Revenue",ROUND(N919*VATRate,2),0))</f>
        <v/>
      </c>
      <c r="P919" s="31">
        <f>IF(N919="","",N919+O919)</f>
        <v/>
      </c>
    </row>
    <row r="920">
      <c r="A920" s="26" t="n"/>
      <c r="B920" s="27">
        <f>IF(A920="","",IF(OR(A920&lt;MIN(Lists!$C$4:$C$15),A920&gt;MAX(Lists!$D$4:$D$15)),"No period",INDEX(Lists!$B$4:$B$15,MATCH(A920,Lists!$C$4:$C$15,1))))</f>
        <v/>
      </c>
      <c r="C920" s="28">
        <f>IF(B920="","",IFERROR(INDEX(Lists!$A$4:$A$15,MATCH(B920,Lists!$B$4:$B$15,0)),0))</f>
        <v/>
      </c>
      <c r="D920" s="25" t="n"/>
      <c r="E920" s="24" t="n"/>
      <c r="F920" s="27">
        <f>IF(E920="","",IFERROR(INDEX(Lists!$H$4:$H$40,MATCH(E920,Lists!$F$4:$F$40,0)),"UNMAPPED"))</f>
        <v/>
      </c>
      <c r="G920" s="25" t="n"/>
      <c r="H920" s="25" t="n"/>
      <c r="I920" s="25" t="n"/>
      <c r="J920" s="25" t="n"/>
      <c r="K920" s="25" t="n"/>
      <c r="L920" s="29" t="n"/>
      <c r="M920" s="25" t="n"/>
      <c r="N920" s="30" t="n"/>
      <c r="O920" s="31">
        <f>IF(N920="","",IF(G920="Revenue",ROUND(N920*VATRate,2),0))</f>
        <v/>
      </c>
      <c r="P920" s="31">
        <f>IF(N920="","",N920+O920)</f>
        <v/>
      </c>
    </row>
    <row r="921">
      <c r="A921" s="26" t="n"/>
      <c r="B921" s="27">
        <f>IF(A921="","",IF(OR(A921&lt;MIN(Lists!$C$4:$C$15),A921&gt;MAX(Lists!$D$4:$D$15)),"No period",INDEX(Lists!$B$4:$B$15,MATCH(A921,Lists!$C$4:$C$15,1))))</f>
        <v/>
      </c>
      <c r="C921" s="28">
        <f>IF(B921="","",IFERROR(INDEX(Lists!$A$4:$A$15,MATCH(B921,Lists!$B$4:$B$15,0)),0))</f>
        <v/>
      </c>
      <c r="D921" s="25" t="n"/>
      <c r="E921" s="24" t="n"/>
      <c r="F921" s="27">
        <f>IF(E921="","",IFERROR(INDEX(Lists!$H$4:$H$40,MATCH(E921,Lists!$F$4:$F$40,0)),"UNMAPPED"))</f>
        <v/>
      </c>
      <c r="G921" s="25" t="n"/>
      <c r="H921" s="25" t="n"/>
      <c r="I921" s="25" t="n"/>
      <c r="J921" s="25" t="n"/>
      <c r="K921" s="25" t="n"/>
      <c r="L921" s="29" t="n"/>
      <c r="M921" s="25" t="n"/>
      <c r="N921" s="30" t="n"/>
      <c r="O921" s="31">
        <f>IF(N921="","",IF(G921="Revenue",ROUND(N921*VATRate,2),0))</f>
        <v/>
      </c>
      <c r="P921" s="31">
        <f>IF(N921="","",N921+O921)</f>
        <v/>
      </c>
    </row>
    <row r="922">
      <c r="A922" s="26" t="n"/>
      <c r="B922" s="27">
        <f>IF(A922="","",IF(OR(A922&lt;MIN(Lists!$C$4:$C$15),A922&gt;MAX(Lists!$D$4:$D$15)),"No period",INDEX(Lists!$B$4:$B$15,MATCH(A922,Lists!$C$4:$C$15,1))))</f>
        <v/>
      </c>
      <c r="C922" s="28">
        <f>IF(B922="","",IFERROR(INDEX(Lists!$A$4:$A$15,MATCH(B922,Lists!$B$4:$B$15,0)),0))</f>
        <v/>
      </c>
      <c r="D922" s="25" t="n"/>
      <c r="E922" s="24" t="n"/>
      <c r="F922" s="27">
        <f>IF(E922="","",IFERROR(INDEX(Lists!$H$4:$H$40,MATCH(E922,Lists!$F$4:$F$40,0)),"UNMAPPED"))</f>
        <v/>
      </c>
      <c r="G922" s="25" t="n"/>
      <c r="H922" s="25" t="n"/>
      <c r="I922" s="25" t="n"/>
      <c r="J922" s="25" t="n"/>
      <c r="K922" s="25" t="n"/>
      <c r="L922" s="29" t="n"/>
      <c r="M922" s="25" t="n"/>
      <c r="N922" s="30" t="n"/>
      <c r="O922" s="31">
        <f>IF(N922="","",IF(G922="Revenue",ROUND(N922*VATRate,2),0))</f>
        <v/>
      </c>
      <c r="P922" s="31">
        <f>IF(N922="","",N922+O922)</f>
        <v/>
      </c>
    </row>
    <row r="923">
      <c r="A923" s="26" t="n"/>
      <c r="B923" s="27">
        <f>IF(A923="","",IF(OR(A923&lt;MIN(Lists!$C$4:$C$15),A923&gt;MAX(Lists!$D$4:$D$15)),"No period",INDEX(Lists!$B$4:$B$15,MATCH(A923,Lists!$C$4:$C$15,1))))</f>
        <v/>
      </c>
      <c r="C923" s="28">
        <f>IF(B923="","",IFERROR(INDEX(Lists!$A$4:$A$15,MATCH(B923,Lists!$B$4:$B$15,0)),0))</f>
        <v/>
      </c>
      <c r="D923" s="25" t="n"/>
      <c r="E923" s="24" t="n"/>
      <c r="F923" s="27">
        <f>IF(E923="","",IFERROR(INDEX(Lists!$H$4:$H$40,MATCH(E923,Lists!$F$4:$F$40,0)),"UNMAPPED"))</f>
        <v/>
      </c>
      <c r="G923" s="25" t="n"/>
      <c r="H923" s="25" t="n"/>
      <c r="I923" s="25" t="n"/>
      <c r="J923" s="25" t="n"/>
      <c r="K923" s="25" t="n"/>
      <c r="L923" s="29" t="n"/>
      <c r="M923" s="25" t="n"/>
      <c r="N923" s="30" t="n"/>
      <c r="O923" s="31">
        <f>IF(N923="","",IF(G923="Revenue",ROUND(N923*VATRate,2),0))</f>
        <v/>
      </c>
      <c r="P923" s="31">
        <f>IF(N923="","",N923+O923)</f>
        <v/>
      </c>
    </row>
    <row r="924">
      <c r="A924" s="26" t="n"/>
      <c r="B924" s="27">
        <f>IF(A924="","",IF(OR(A924&lt;MIN(Lists!$C$4:$C$15),A924&gt;MAX(Lists!$D$4:$D$15)),"No period",INDEX(Lists!$B$4:$B$15,MATCH(A924,Lists!$C$4:$C$15,1))))</f>
        <v/>
      </c>
      <c r="C924" s="28">
        <f>IF(B924="","",IFERROR(INDEX(Lists!$A$4:$A$15,MATCH(B924,Lists!$B$4:$B$15,0)),0))</f>
        <v/>
      </c>
      <c r="D924" s="25" t="n"/>
      <c r="E924" s="24" t="n"/>
      <c r="F924" s="27">
        <f>IF(E924="","",IFERROR(INDEX(Lists!$H$4:$H$40,MATCH(E924,Lists!$F$4:$F$40,0)),"UNMAPPED"))</f>
        <v/>
      </c>
      <c r="G924" s="25" t="n"/>
      <c r="H924" s="25" t="n"/>
      <c r="I924" s="25" t="n"/>
      <c r="J924" s="25" t="n"/>
      <c r="K924" s="25" t="n"/>
      <c r="L924" s="29" t="n"/>
      <c r="M924" s="25" t="n"/>
      <c r="N924" s="30" t="n"/>
      <c r="O924" s="31">
        <f>IF(N924="","",IF(G924="Revenue",ROUND(N924*VATRate,2),0))</f>
        <v/>
      </c>
      <c r="P924" s="31">
        <f>IF(N924="","",N924+O924)</f>
        <v/>
      </c>
    </row>
    <row r="925">
      <c r="A925" s="26" t="n"/>
      <c r="B925" s="27">
        <f>IF(A925="","",IF(OR(A925&lt;MIN(Lists!$C$4:$C$15),A925&gt;MAX(Lists!$D$4:$D$15)),"No period",INDEX(Lists!$B$4:$B$15,MATCH(A925,Lists!$C$4:$C$15,1))))</f>
        <v/>
      </c>
      <c r="C925" s="28">
        <f>IF(B925="","",IFERROR(INDEX(Lists!$A$4:$A$15,MATCH(B925,Lists!$B$4:$B$15,0)),0))</f>
        <v/>
      </c>
      <c r="D925" s="25" t="n"/>
      <c r="E925" s="24" t="n"/>
      <c r="F925" s="27">
        <f>IF(E925="","",IFERROR(INDEX(Lists!$H$4:$H$40,MATCH(E925,Lists!$F$4:$F$40,0)),"UNMAPPED"))</f>
        <v/>
      </c>
      <c r="G925" s="25" t="n"/>
      <c r="H925" s="25" t="n"/>
      <c r="I925" s="25" t="n"/>
      <c r="J925" s="25" t="n"/>
      <c r="K925" s="25" t="n"/>
      <c r="L925" s="29" t="n"/>
      <c r="M925" s="25" t="n"/>
      <c r="N925" s="30" t="n"/>
      <c r="O925" s="31">
        <f>IF(N925="","",IF(G925="Revenue",ROUND(N925*VATRate,2),0))</f>
        <v/>
      </c>
      <c r="P925" s="31">
        <f>IF(N925="","",N925+O925)</f>
        <v/>
      </c>
    </row>
    <row r="926">
      <c r="A926" s="26" t="n"/>
      <c r="B926" s="27">
        <f>IF(A926="","",IF(OR(A926&lt;MIN(Lists!$C$4:$C$15),A926&gt;MAX(Lists!$D$4:$D$15)),"No period",INDEX(Lists!$B$4:$B$15,MATCH(A926,Lists!$C$4:$C$15,1))))</f>
        <v/>
      </c>
      <c r="C926" s="28">
        <f>IF(B926="","",IFERROR(INDEX(Lists!$A$4:$A$15,MATCH(B926,Lists!$B$4:$B$15,0)),0))</f>
        <v/>
      </c>
      <c r="D926" s="25" t="n"/>
      <c r="E926" s="24" t="n"/>
      <c r="F926" s="27">
        <f>IF(E926="","",IFERROR(INDEX(Lists!$H$4:$H$40,MATCH(E926,Lists!$F$4:$F$40,0)),"UNMAPPED"))</f>
        <v/>
      </c>
      <c r="G926" s="25" t="n"/>
      <c r="H926" s="25" t="n"/>
      <c r="I926" s="25" t="n"/>
      <c r="J926" s="25" t="n"/>
      <c r="K926" s="25" t="n"/>
      <c r="L926" s="29" t="n"/>
      <c r="M926" s="25" t="n"/>
      <c r="N926" s="30" t="n"/>
      <c r="O926" s="31">
        <f>IF(N926="","",IF(G926="Revenue",ROUND(N926*VATRate,2),0))</f>
        <v/>
      </c>
      <c r="P926" s="31">
        <f>IF(N926="","",N926+O926)</f>
        <v/>
      </c>
    </row>
    <row r="927">
      <c r="A927" s="26" t="n"/>
      <c r="B927" s="27">
        <f>IF(A927="","",IF(OR(A927&lt;MIN(Lists!$C$4:$C$15),A927&gt;MAX(Lists!$D$4:$D$15)),"No period",INDEX(Lists!$B$4:$B$15,MATCH(A927,Lists!$C$4:$C$15,1))))</f>
        <v/>
      </c>
      <c r="C927" s="28">
        <f>IF(B927="","",IFERROR(INDEX(Lists!$A$4:$A$15,MATCH(B927,Lists!$B$4:$B$15,0)),0))</f>
        <v/>
      </c>
      <c r="D927" s="25" t="n"/>
      <c r="E927" s="24" t="n"/>
      <c r="F927" s="27">
        <f>IF(E927="","",IFERROR(INDEX(Lists!$H$4:$H$40,MATCH(E927,Lists!$F$4:$F$40,0)),"UNMAPPED"))</f>
        <v/>
      </c>
      <c r="G927" s="25" t="n"/>
      <c r="H927" s="25" t="n"/>
      <c r="I927" s="25" t="n"/>
      <c r="J927" s="25" t="n"/>
      <c r="K927" s="25" t="n"/>
      <c r="L927" s="29" t="n"/>
      <c r="M927" s="25" t="n"/>
      <c r="N927" s="30" t="n"/>
      <c r="O927" s="31">
        <f>IF(N927="","",IF(G927="Revenue",ROUND(N927*VATRate,2),0))</f>
        <v/>
      </c>
      <c r="P927" s="31">
        <f>IF(N927="","",N927+O927)</f>
        <v/>
      </c>
    </row>
    <row r="928">
      <c r="A928" s="26" t="n"/>
      <c r="B928" s="27">
        <f>IF(A928="","",IF(OR(A928&lt;MIN(Lists!$C$4:$C$15),A928&gt;MAX(Lists!$D$4:$D$15)),"No period",INDEX(Lists!$B$4:$B$15,MATCH(A928,Lists!$C$4:$C$15,1))))</f>
        <v/>
      </c>
      <c r="C928" s="28">
        <f>IF(B928="","",IFERROR(INDEX(Lists!$A$4:$A$15,MATCH(B928,Lists!$B$4:$B$15,0)),0))</f>
        <v/>
      </c>
      <c r="D928" s="25" t="n"/>
      <c r="E928" s="24" t="n"/>
      <c r="F928" s="27">
        <f>IF(E928="","",IFERROR(INDEX(Lists!$H$4:$H$40,MATCH(E928,Lists!$F$4:$F$40,0)),"UNMAPPED"))</f>
        <v/>
      </c>
      <c r="G928" s="25" t="n"/>
      <c r="H928" s="25" t="n"/>
      <c r="I928" s="25" t="n"/>
      <c r="J928" s="25" t="n"/>
      <c r="K928" s="25" t="n"/>
      <c r="L928" s="29" t="n"/>
      <c r="M928" s="25" t="n"/>
      <c r="N928" s="30" t="n"/>
      <c r="O928" s="31">
        <f>IF(N928="","",IF(G928="Revenue",ROUND(N928*VATRate,2),0))</f>
        <v/>
      </c>
      <c r="P928" s="31">
        <f>IF(N928="","",N928+O928)</f>
        <v/>
      </c>
    </row>
    <row r="929">
      <c r="A929" s="26" t="n"/>
      <c r="B929" s="27">
        <f>IF(A929="","",IF(OR(A929&lt;MIN(Lists!$C$4:$C$15),A929&gt;MAX(Lists!$D$4:$D$15)),"No period",INDEX(Lists!$B$4:$B$15,MATCH(A929,Lists!$C$4:$C$15,1))))</f>
        <v/>
      </c>
      <c r="C929" s="28">
        <f>IF(B929="","",IFERROR(INDEX(Lists!$A$4:$A$15,MATCH(B929,Lists!$B$4:$B$15,0)),0))</f>
        <v/>
      </c>
      <c r="D929" s="25" t="n"/>
      <c r="E929" s="24" t="n"/>
      <c r="F929" s="27">
        <f>IF(E929="","",IFERROR(INDEX(Lists!$H$4:$H$40,MATCH(E929,Lists!$F$4:$F$40,0)),"UNMAPPED"))</f>
        <v/>
      </c>
      <c r="G929" s="25" t="n"/>
      <c r="H929" s="25" t="n"/>
      <c r="I929" s="25" t="n"/>
      <c r="J929" s="25" t="n"/>
      <c r="K929" s="25" t="n"/>
      <c r="L929" s="29" t="n"/>
      <c r="M929" s="25" t="n"/>
      <c r="N929" s="30" t="n"/>
      <c r="O929" s="31">
        <f>IF(N929="","",IF(G929="Revenue",ROUND(N929*VATRate,2),0))</f>
        <v/>
      </c>
      <c r="P929" s="31">
        <f>IF(N929="","",N929+O929)</f>
        <v/>
      </c>
    </row>
    <row r="930">
      <c r="A930" s="26" t="n"/>
      <c r="B930" s="27">
        <f>IF(A930="","",IF(OR(A930&lt;MIN(Lists!$C$4:$C$15),A930&gt;MAX(Lists!$D$4:$D$15)),"No period",INDEX(Lists!$B$4:$B$15,MATCH(A930,Lists!$C$4:$C$15,1))))</f>
        <v/>
      </c>
      <c r="C930" s="28">
        <f>IF(B930="","",IFERROR(INDEX(Lists!$A$4:$A$15,MATCH(B930,Lists!$B$4:$B$15,0)),0))</f>
        <v/>
      </c>
      <c r="D930" s="25" t="n"/>
      <c r="E930" s="24" t="n"/>
      <c r="F930" s="27">
        <f>IF(E930="","",IFERROR(INDEX(Lists!$H$4:$H$40,MATCH(E930,Lists!$F$4:$F$40,0)),"UNMAPPED"))</f>
        <v/>
      </c>
      <c r="G930" s="25" t="n"/>
      <c r="H930" s="25" t="n"/>
      <c r="I930" s="25" t="n"/>
      <c r="J930" s="25" t="n"/>
      <c r="K930" s="25" t="n"/>
      <c r="L930" s="29" t="n"/>
      <c r="M930" s="25" t="n"/>
      <c r="N930" s="30" t="n"/>
      <c r="O930" s="31">
        <f>IF(N930="","",IF(G930="Revenue",ROUND(N930*VATRate,2),0))</f>
        <v/>
      </c>
      <c r="P930" s="31">
        <f>IF(N930="","",N930+O930)</f>
        <v/>
      </c>
    </row>
    <row r="931">
      <c r="A931" s="26" t="n"/>
      <c r="B931" s="27">
        <f>IF(A931="","",IF(OR(A931&lt;MIN(Lists!$C$4:$C$15),A931&gt;MAX(Lists!$D$4:$D$15)),"No period",INDEX(Lists!$B$4:$B$15,MATCH(A931,Lists!$C$4:$C$15,1))))</f>
        <v/>
      </c>
      <c r="C931" s="28">
        <f>IF(B931="","",IFERROR(INDEX(Lists!$A$4:$A$15,MATCH(B931,Lists!$B$4:$B$15,0)),0))</f>
        <v/>
      </c>
      <c r="D931" s="25" t="n"/>
      <c r="E931" s="24" t="n"/>
      <c r="F931" s="27">
        <f>IF(E931="","",IFERROR(INDEX(Lists!$H$4:$H$40,MATCH(E931,Lists!$F$4:$F$40,0)),"UNMAPPED"))</f>
        <v/>
      </c>
      <c r="G931" s="25" t="n"/>
      <c r="H931" s="25" t="n"/>
      <c r="I931" s="25" t="n"/>
      <c r="J931" s="25" t="n"/>
      <c r="K931" s="25" t="n"/>
      <c r="L931" s="29" t="n"/>
      <c r="M931" s="25" t="n"/>
      <c r="N931" s="30" t="n"/>
      <c r="O931" s="31">
        <f>IF(N931="","",IF(G931="Revenue",ROUND(N931*VATRate,2),0))</f>
        <v/>
      </c>
      <c r="P931" s="31">
        <f>IF(N931="","",N931+O931)</f>
        <v/>
      </c>
    </row>
    <row r="932">
      <c r="A932" s="26" t="n"/>
      <c r="B932" s="27">
        <f>IF(A932="","",IF(OR(A932&lt;MIN(Lists!$C$4:$C$15),A932&gt;MAX(Lists!$D$4:$D$15)),"No period",INDEX(Lists!$B$4:$B$15,MATCH(A932,Lists!$C$4:$C$15,1))))</f>
        <v/>
      </c>
      <c r="C932" s="28">
        <f>IF(B932="","",IFERROR(INDEX(Lists!$A$4:$A$15,MATCH(B932,Lists!$B$4:$B$15,0)),0))</f>
        <v/>
      </c>
      <c r="D932" s="25" t="n"/>
      <c r="E932" s="24" t="n"/>
      <c r="F932" s="27">
        <f>IF(E932="","",IFERROR(INDEX(Lists!$H$4:$H$40,MATCH(E932,Lists!$F$4:$F$40,0)),"UNMAPPED"))</f>
        <v/>
      </c>
      <c r="G932" s="25" t="n"/>
      <c r="H932" s="25" t="n"/>
      <c r="I932" s="25" t="n"/>
      <c r="J932" s="25" t="n"/>
      <c r="K932" s="25" t="n"/>
      <c r="L932" s="29" t="n"/>
      <c r="M932" s="25" t="n"/>
      <c r="N932" s="30" t="n"/>
      <c r="O932" s="31">
        <f>IF(N932="","",IF(G932="Revenue",ROUND(N932*VATRate,2),0))</f>
        <v/>
      </c>
      <c r="P932" s="31">
        <f>IF(N932="","",N932+O932)</f>
        <v/>
      </c>
    </row>
    <row r="933">
      <c r="A933" s="26" t="n"/>
      <c r="B933" s="27">
        <f>IF(A933="","",IF(OR(A933&lt;MIN(Lists!$C$4:$C$15),A933&gt;MAX(Lists!$D$4:$D$15)),"No period",INDEX(Lists!$B$4:$B$15,MATCH(A933,Lists!$C$4:$C$15,1))))</f>
        <v/>
      </c>
      <c r="C933" s="28">
        <f>IF(B933="","",IFERROR(INDEX(Lists!$A$4:$A$15,MATCH(B933,Lists!$B$4:$B$15,0)),0))</f>
        <v/>
      </c>
      <c r="D933" s="25" t="n"/>
      <c r="E933" s="24" t="n"/>
      <c r="F933" s="27">
        <f>IF(E933="","",IFERROR(INDEX(Lists!$H$4:$H$40,MATCH(E933,Lists!$F$4:$F$40,0)),"UNMAPPED"))</f>
        <v/>
      </c>
      <c r="G933" s="25" t="n"/>
      <c r="H933" s="25" t="n"/>
      <c r="I933" s="25" t="n"/>
      <c r="J933" s="25" t="n"/>
      <c r="K933" s="25" t="n"/>
      <c r="L933" s="29" t="n"/>
      <c r="M933" s="25" t="n"/>
      <c r="N933" s="30" t="n"/>
      <c r="O933" s="31">
        <f>IF(N933="","",IF(G933="Revenue",ROUND(N933*VATRate,2),0))</f>
        <v/>
      </c>
      <c r="P933" s="31">
        <f>IF(N933="","",N933+O933)</f>
        <v/>
      </c>
    </row>
    <row r="934">
      <c r="A934" s="26" t="n"/>
      <c r="B934" s="27">
        <f>IF(A934="","",IF(OR(A934&lt;MIN(Lists!$C$4:$C$15),A934&gt;MAX(Lists!$D$4:$D$15)),"No period",INDEX(Lists!$B$4:$B$15,MATCH(A934,Lists!$C$4:$C$15,1))))</f>
        <v/>
      </c>
      <c r="C934" s="28">
        <f>IF(B934="","",IFERROR(INDEX(Lists!$A$4:$A$15,MATCH(B934,Lists!$B$4:$B$15,0)),0))</f>
        <v/>
      </c>
      <c r="D934" s="25" t="n"/>
      <c r="E934" s="24" t="n"/>
      <c r="F934" s="27">
        <f>IF(E934="","",IFERROR(INDEX(Lists!$H$4:$H$40,MATCH(E934,Lists!$F$4:$F$40,0)),"UNMAPPED"))</f>
        <v/>
      </c>
      <c r="G934" s="25" t="n"/>
      <c r="H934" s="25" t="n"/>
      <c r="I934" s="25" t="n"/>
      <c r="J934" s="25" t="n"/>
      <c r="K934" s="25" t="n"/>
      <c r="L934" s="29" t="n"/>
      <c r="M934" s="25" t="n"/>
      <c r="N934" s="30" t="n"/>
      <c r="O934" s="31">
        <f>IF(N934="","",IF(G934="Revenue",ROUND(N934*VATRate,2),0))</f>
        <v/>
      </c>
      <c r="P934" s="31">
        <f>IF(N934="","",N934+O934)</f>
        <v/>
      </c>
    </row>
    <row r="935">
      <c r="A935" s="26" t="n"/>
      <c r="B935" s="27">
        <f>IF(A935="","",IF(OR(A935&lt;MIN(Lists!$C$4:$C$15),A935&gt;MAX(Lists!$D$4:$D$15)),"No period",INDEX(Lists!$B$4:$B$15,MATCH(A935,Lists!$C$4:$C$15,1))))</f>
        <v/>
      </c>
      <c r="C935" s="28">
        <f>IF(B935="","",IFERROR(INDEX(Lists!$A$4:$A$15,MATCH(B935,Lists!$B$4:$B$15,0)),0))</f>
        <v/>
      </c>
      <c r="D935" s="25" t="n"/>
      <c r="E935" s="24" t="n"/>
      <c r="F935" s="27">
        <f>IF(E935="","",IFERROR(INDEX(Lists!$H$4:$H$40,MATCH(E935,Lists!$F$4:$F$40,0)),"UNMAPPED"))</f>
        <v/>
      </c>
      <c r="G935" s="25" t="n"/>
      <c r="H935" s="25" t="n"/>
      <c r="I935" s="25" t="n"/>
      <c r="J935" s="25" t="n"/>
      <c r="K935" s="25" t="n"/>
      <c r="L935" s="29" t="n"/>
      <c r="M935" s="25" t="n"/>
      <c r="N935" s="30" t="n"/>
      <c r="O935" s="31">
        <f>IF(N935="","",IF(G935="Revenue",ROUND(N935*VATRate,2),0))</f>
        <v/>
      </c>
      <c r="P935" s="31">
        <f>IF(N935="","",N935+O935)</f>
        <v/>
      </c>
    </row>
    <row r="936">
      <c r="A936" s="26" t="n"/>
      <c r="B936" s="27">
        <f>IF(A936="","",IF(OR(A936&lt;MIN(Lists!$C$4:$C$15),A936&gt;MAX(Lists!$D$4:$D$15)),"No period",INDEX(Lists!$B$4:$B$15,MATCH(A936,Lists!$C$4:$C$15,1))))</f>
        <v/>
      </c>
      <c r="C936" s="28">
        <f>IF(B936="","",IFERROR(INDEX(Lists!$A$4:$A$15,MATCH(B936,Lists!$B$4:$B$15,0)),0))</f>
        <v/>
      </c>
      <c r="D936" s="25" t="n"/>
      <c r="E936" s="24" t="n"/>
      <c r="F936" s="27">
        <f>IF(E936="","",IFERROR(INDEX(Lists!$H$4:$H$40,MATCH(E936,Lists!$F$4:$F$40,0)),"UNMAPPED"))</f>
        <v/>
      </c>
      <c r="G936" s="25" t="n"/>
      <c r="H936" s="25" t="n"/>
      <c r="I936" s="25" t="n"/>
      <c r="J936" s="25" t="n"/>
      <c r="K936" s="25" t="n"/>
      <c r="L936" s="29" t="n"/>
      <c r="M936" s="25" t="n"/>
      <c r="N936" s="30" t="n"/>
      <c r="O936" s="31">
        <f>IF(N936="","",IF(G936="Revenue",ROUND(N936*VATRate,2),0))</f>
        <v/>
      </c>
      <c r="P936" s="31">
        <f>IF(N936="","",N936+O936)</f>
        <v/>
      </c>
    </row>
    <row r="937">
      <c r="A937" s="26" t="n"/>
      <c r="B937" s="27">
        <f>IF(A937="","",IF(OR(A937&lt;MIN(Lists!$C$4:$C$15),A937&gt;MAX(Lists!$D$4:$D$15)),"No period",INDEX(Lists!$B$4:$B$15,MATCH(A937,Lists!$C$4:$C$15,1))))</f>
        <v/>
      </c>
      <c r="C937" s="28">
        <f>IF(B937="","",IFERROR(INDEX(Lists!$A$4:$A$15,MATCH(B937,Lists!$B$4:$B$15,0)),0))</f>
        <v/>
      </c>
      <c r="D937" s="25" t="n"/>
      <c r="E937" s="24" t="n"/>
      <c r="F937" s="27">
        <f>IF(E937="","",IFERROR(INDEX(Lists!$H$4:$H$40,MATCH(E937,Lists!$F$4:$F$40,0)),"UNMAPPED"))</f>
        <v/>
      </c>
      <c r="G937" s="25" t="n"/>
      <c r="H937" s="25" t="n"/>
      <c r="I937" s="25" t="n"/>
      <c r="J937" s="25" t="n"/>
      <c r="K937" s="25" t="n"/>
      <c r="L937" s="29" t="n"/>
      <c r="M937" s="25" t="n"/>
      <c r="N937" s="30" t="n"/>
      <c r="O937" s="31">
        <f>IF(N937="","",IF(G937="Revenue",ROUND(N937*VATRate,2),0))</f>
        <v/>
      </c>
      <c r="P937" s="31">
        <f>IF(N937="","",N937+O937)</f>
        <v/>
      </c>
    </row>
    <row r="938">
      <c r="A938" s="26" t="n"/>
      <c r="B938" s="27">
        <f>IF(A938="","",IF(OR(A938&lt;MIN(Lists!$C$4:$C$15),A938&gt;MAX(Lists!$D$4:$D$15)),"No period",INDEX(Lists!$B$4:$B$15,MATCH(A938,Lists!$C$4:$C$15,1))))</f>
        <v/>
      </c>
      <c r="C938" s="28">
        <f>IF(B938="","",IFERROR(INDEX(Lists!$A$4:$A$15,MATCH(B938,Lists!$B$4:$B$15,0)),0))</f>
        <v/>
      </c>
      <c r="D938" s="25" t="n"/>
      <c r="E938" s="24" t="n"/>
      <c r="F938" s="27">
        <f>IF(E938="","",IFERROR(INDEX(Lists!$H$4:$H$40,MATCH(E938,Lists!$F$4:$F$40,0)),"UNMAPPED"))</f>
        <v/>
      </c>
      <c r="G938" s="25" t="n"/>
      <c r="H938" s="25" t="n"/>
      <c r="I938" s="25" t="n"/>
      <c r="J938" s="25" t="n"/>
      <c r="K938" s="25" t="n"/>
      <c r="L938" s="29" t="n"/>
      <c r="M938" s="25" t="n"/>
      <c r="N938" s="30" t="n"/>
      <c r="O938" s="31">
        <f>IF(N938="","",IF(G938="Revenue",ROUND(N938*VATRate,2),0))</f>
        <v/>
      </c>
      <c r="P938" s="31">
        <f>IF(N938="","",N938+O938)</f>
        <v/>
      </c>
    </row>
    <row r="939">
      <c r="A939" s="26" t="n"/>
      <c r="B939" s="27">
        <f>IF(A939="","",IF(OR(A939&lt;MIN(Lists!$C$4:$C$15),A939&gt;MAX(Lists!$D$4:$D$15)),"No period",INDEX(Lists!$B$4:$B$15,MATCH(A939,Lists!$C$4:$C$15,1))))</f>
        <v/>
      </c>
      <c r="C939" s="28">
        <f>IF(B939="","",IFERROR(INDEX(Lists!$A$4:$A$15,MATCH(B939,Lists!$B$4:$B$15,0)),0))</f>
        <v/>
      </c>
      <c r="D939" s="25" t="n"/>
      <c r="E939" s="24" t="n"/>
      <c r="F939" s="27">
        <f>IF(E939="","",IFERROR(INDEX(Lists!$H$4:$H$40,MATCH(E939,Lists!$F$4:$F$40,0)),"UNMAPPED"))</f>
        <v/>
      </c>
      <c r="G939" s="25" t="n"/>
      <c r="H939" s="25" t="n"/>
      <c r="I939" s="25" t="n"/>
      <c r="J939" s="25" t="n"/>
      <c r="K939" s="25" t="n"/>
      <c r="L939" s="29" t="n"/>
      <c r="M939" s="25" t="n"/>
      <c r="N939" s="30" t="n"/>
      <c r="O939" s="31">
        <f>IF(N939="","",IF(G939="Revenue",ROUND(N939*VATRate,2),0))</f>
        <v/>
      </c>
      <c r="P939" s="31">
        <f>IF(N939="","",N939+O939)</f>
        <v/>
      </c>
    </row>
    <row r="940">
      <c r="A940" s="26" t="n"/>
      <c r="B940" s="27">
        <f>IF(A940="","",IF(OR(A940&lt;MIN(Lists!$C$4:$C$15),A940&gt;MAX(Lists!$D$4:$D$15)),"No period",INDEX(Lists!$B$4:$B$15,MATCH(A940,Lists!$C$4:$C$15,1))))</f>
        <v/>
      </c>
      <c r="C940" s="28">
        <f>IF(B940="","",IFERROR(INDEX(Lists!$A$4:$A$15,MATCH(B940,Lists!$B$4:$B$15,0)),0))</f>
        <v/>
      </c>
      <c r="D940" s="25" t="n"/>
      <c r="E940" s="24" t="n"/>
      <c r="F940" s="27">
        <f>IF(E940="","",IFERROR(INDEX(Lists!$H$4:$H$40,MATCH(E940,Lists!$F$4:$F$40,0)),"UNMAPPED"))</f>
        <v/>
      </c>
      <c r="G940" s="25" t="n"/>
      <c r="H940" s="25" t="n"/>
      <c r="I940" s="25" t="n"/>
      <c r="J940" s="25" t="n"/>
      <c r="K940" s="25" t="n"/>
      <c r="L940" s="29" t="n"/>
      <c r="M940" s="25" t="n"/>
      <c r="N940" s="30" t="n"/>
      <c r="O940" s="31">
        <f>IF(N940="","",IF(G940="Revenue",ROUND(N940*VATRate,2),0))</f>
        <v/>
      </c>
      <c r="P940" s="31">
        <f>IF(N940="","",N940+O940)</f>
        <v/>
      </c>
    </row>
    <row r="941">
      <c r="A941" s="26" t="n"/>
      <c r="B941" s="27">
        <f>IF(A941="","",IF(OR(A941&lt;MIN(Lists!$C$4:$C$15),A941&gt;MAX(Lists!$D$4:$D$15)),"No period",INDEX(Lists!$B$4:$B$15,MATCH(A941,Lists!$C$4:$C$15,1))))</f>
        <v/>
      </c>
      <c r="C941" s="28">
        <f>IF(B941="","",IFERROR(INDEX(Lists!$A$4:$A$15,MATCH(B941,Lists!$B$4:$B$15,0)),0))</f>
        <v/>
      </c>
      <c r="D941" s="25" t="n"/>
      <c r="E941" s="24" t="n"/>
      <c r="F941" s="27">
        <f>IF(E941="","",IFERROR(INDEX(Lists!$H$4:$H$40,MATCH(E941,Lists!$F$4:$F$40,0)),"UNMAPPED"))</f>
        <v/>
      </c>
      <c r="G941" s="25" t="n"/>
      <c r="H941" s="25" t="n"/>
      <c r="I941" s="25" t="n"/>
      <c r="J941" s="25" t="n"/>
      <c r="K941" s="25" t="n"/>
      <c r="L941" s="29" t="n"/>
      <c r="M941" s="25" t="n"/>
      <c r="N941" s="30" t="n"/>
      <c r="O941" s="31">
        <f>IF(N941="","",IF(G941="Revenue",ROUND(N941*VATRate,2),0))</f>
        <v/>
      </c>
      <c r="P941" s="31">
        <f>IF(N941="","",N941+O941)</f>
        <v/>
      </c>
    </row>
    <row r="942">
      <c r="A942" s="26" t="n"/>
      <c r="B942" s="27">
        <f>IF(A942="","",IF(OR(A942&lt;MIN(Lists!$C$4:$C$15),A942&gt;MAX(Lists!$D$4:$D$15)),"No period",INDEX(Lists!$B$4:$B$15,MATCH(A942,Lists!$C$4:$C$15,1))))</f>
        <v/>
      </c>
      <c r="C942" s="28">
        <f>IF(B942="","",IFERROR(INDEX(Lists!$A$4:$A$15,MATCH(B942,Lists!$B$4:$B$15,0)),0))</f>
        <v/>
      </c>
      <c r="D942" s="25" t="n"/>
      <c r="E942" s="24" t="n"/>
      <c r="F942" s="27">
        <f>IF(E942="","",IFERROR(INDEX(Lists!$H$4:$H$40,MATCH(E942,Lists!$F$4:$F$40,0)),"UNMAPPED"))</f>
        <v/>
      </c>
      <c r="G942" s="25" t="n"/>
      <c r="H942" s="25" t="n"/>
      <c r="I942" s="25" t="n"/>
      <c r="J942" s="25" t="n"/>
      <c r="K942" s="25" t="n"/>
      <c r="L942" s="29" t="n"/>
      <c r="M942" s="25" t="n"/>
      <c r="N942" s="30" t="n"/>
      <c r="O942" s="31">
        <f>IF(N942="","",IF(G942="Revenue",ROUND(N942*VATRate,2),0))</f>
        <v/>
      </c>
      <c r="P942" s="31">
        <f>IF(N942="","",N942+O942)</f>
        <v/>
      </c>
    </row>
    <row r="943">
      <c r="A943" s="26" t="n"/>
      <c r="B943" s="27">
        <f>IF(A943="","",IF(OR(A943&lt;MIN(Lists!$C$4:$C$15),A943&gt;MAX(Lists!$D$4:$D$15)),"No period",INDEX(Lists!$B$4:$B$15,MATCH(A943,Lists!$C$4:$C$15,1))))</f>
        <v/>
      </c>
      <c r="C943" s="28">
        <f>IF(B943="","",IFERROR(INDEX(Lists!$A$4:$A$15,MATCH(B943,Lists!$B$4:$B$15,0)),0))</f>
        <v/>
      </c>
      <c r="D943" s="25" t="n"/>
      <c r="E943" s="24" t="n"/>
      <c r="F943" s="27">
        <f>IF(E943="","",IFERROR(INDEX(Lists!$H$4:$H$40,MATCH(E943,Lists!$F$4:$F$40,0)),"UNMAPPED"))</f>
        <v/>
      </c>
      <c r="G943" s="25" t="n"/>
      <c r="H943" s="25" t="n"/>
      <c r="I943" s="25" t="n"/>
      <c r="J943" s="25" t="n"/>
      <c r="K943" s="25" t="n"/>
      <c r="L943" s="29" t="n"/>
      <c r="M943" s="25" t="n"/>
      <c r="N943" s="30" t="n"/>
      <c r="O943" s="31">
        <f>IF(N943="","",IF(G943="Revenue",ROUND(N943*VATRate,2),0))</f>
        <v/>
      </c>
      <c r="P943" s="31">
        <f>IF(N943="","",N943+O943)</f>
        <v/>
      </c>
    </row>
    <row r="944">
      <c r="A944" s="26" t="n"/>
      <c r="B944" s="27">
        <f>IF(A944="","",IF(OR(A944&lt;MIN(Lists!$C$4:$C$15),A944&gt;MAX(Lists!$D$4:$D$15)),"No period",INDEX(Lists!$B$4:$B$15,MATCH(A944,Lists!$C$4:$C$15,1))))</f>
        <v/>
      </c>
      <c r="C944" s="28">
        <f>IF(B944="","",IFERROR(INDEX(Lists!$A$4:$A$15,MATCH(B944,Lists!$B$4:$B$15,0)),0))</f>
        <v/>
      </c>
      <c r="D944" s="25" t="n"/>
      <c r="E944" s="24" t="n"/>
      <c r="F944" s="27">
        <f>IF(E944="","",IFERROR(INDEX(Lists!$H$4:$H$40,MATCH(E944,Lists!$F$4:$F$40,0)),"UNMAPPED"))</f>
        <v/>
      </c>
      <c r="G944" s="25" t="n"/>
      <c r="H944" s="25" t="n"/>
      <c r="I944" s="25" t="n"/>
      <c r="J944" s="25" t="n"/>
      <c r="K944" s="25" t="n"/>
      <c r="L944" s="29" t="n"/>
      <c r="M944" s="25" t="n"/>
      <c r="N944" s="30" t="n"/>
      <c r="O944" s="31">
        <f>IF(N944="","",IF(G944="Revenue",ROUND(N944*VATRate,2),0))</f>
        <v/>
      </c>
      <c r="P944" s="31">
        <f>IF(N944="","",N944+O944)</f>
        <v/>
      </c>
    </row>
    <row r="945">
      <c r="A945" s="26" t="n"/>
      <c r="B945" s="27">
        <f>IF(A945="","",IF(OR(A945&lt;MIN(Lists!$C$4:$C$15),A945&gt;MAX(Lists!$D$4:$D$15)),"No period",INDEX(Lists!$B$4:$B$15,MATCH(A945,Lists!$C$4:$C$15,1))))</f>
        <v/>
      </c>
      <c r="C945" s="28">
        <f>IF(B945="","",IFERROR(INDEX(Lists!$A$4:$A$15,MATCH(B945,Lists!$B$4:$B$15,0)),0))</f>
        <v/>
      </c>
      <c r="D945" s="25" t="n"/>
      <c r="E945" s="24" t="n"/>
      <c r="F945" s="27">
        <f>IF(E945="","",IFERROR(INDEX(Lists!$H$4:$H$40,MATCH(E945,Lists!$F$4:$F$40,0)),"UNMAPPED"))</f>
        <v/>
      </c>
      <c r="G945" s="25" t="n"/>
      <c r="H945" s="25" t="n"/>
      <c r="I945" s="25" t="n"/>
      <c r="J945" s="25" t="n"/>
      <c r="K945" s="25" t="n"/>
      <c r="L945" s="29" t="n"/>
      <c r="M945" s="25" t="n"/>
      <c r="N945" s="30" t="n"/>
      <c r="O945" s="31">
        <f>IF(N945="","",IF(G945="Revenue",ROUND(N945*VATRate,2),0))</f>
        <v/>
      </c>
      <c r="P945" s="31">
        <f>IF(N945="","",N945+O945)</f>
        <v/>
      </c>
    </row>
    <row r="946">
      <c r="A946" s="26" t="n"/>
      <c r="B946" s="27">
        <f>IF(A946="","",IF(OR(A946&lt;MIN(Lists!$C$4:$C$15),A946&gt;MAX(Lists!$D$4:$D$15)),"No period",INDEX(Lists!$B$4:$B$15,MATCH(A946,Lists!$C$4:$C$15,1))))</f>
        <v/>
      </c>
      <c r="C946" s="28">
        <f>IF(B946="","",IFERROR(INDEX(Lists!$A$4:$A$15,MATCH(B946,Lists!$B$4:$B$15,0)),0))</f>
        <v/>
      </c>
      <c r="D946" s="25" t="n"/>
      <c r="E946" s="24" t="n"/>
      <c r="F946" s="27">
        <f>IF(E946="","",IFERROR(INDEX(Lists!$H$4:$H$40,MATCH(E946,Lists!$F$4:$F$40,0)),"UNMAPPED"))</f>
        <v/>
      </c>
      <c r="G946" s="25" t="n"/>
      <c r="H946" s="25" t="n"/>
      <c r="I946" s="25" t="n"/>
      <c r="J946" s="25" t="n"/>
      <c r="K946" s="25" t="n"/>
      <c r="L946" s="29" t="n"/>
      <c r="M946" s="25" t="n"/>
      <c r="N946" s="30" t="n"/>
      <c r="O946" s="31">
        <f>IF(N946="","",IF(G946="Revenue",ROUND(N946*VATRate,2),0))</f>
        <v/>
      </c>
      <c r="P946" s="31">
        <f>IF(N946="","",N946+O946)</f>
        <v/>
      </c>
    </row>
    <row r="947">
      <c r="A947" s="26" t="n"/>
      <c r="B947" s="27">
        <f>IF(A947="","",IF(OR(A947&lt;MIN(Lists!$C$4:$C$15),A947&gt;MAX(Lists!$D$4:$D$15)),"No period",INDEX(Lists!$B$4:$B$15,MATCH(A947,Lists!$C$4:$C$15,1))))</f>
        <v/>
      </c>
      <c r="C947" s="28">
        <f>IF(B947="","",IFERROR(INDEX(Lists!$A$4:$A$15,MATCH(B947,Lists!$B$4:$B$15,0)),0))</f>
        <v/>
      </c>
      <c r="D947" s="25" t="n"/>
      <c r="E947" s="24" t="n"/>
      <c r="F947" s="27">
        <f>IF(E947="","",IFERROR(INDEX(Lists!$H$4:$H$40,MATCH(E947,Lists!$F$4:$F$40,0)),"UNMAPPED"))</f>
        <v/>
      </c>
      <c r="G947" s="25" t="n"/>
      <c r="H947" s="25" t="n"/>
      <c r="I947" s="25" t="n"/>
      <c r="J947" s="25" t="n"/>
      <c r="K947" s="25" t="n"/>
      <c r="L947" s="29" t="n"/>
      <c r="M947" s="25" t="n"/>
      <c r="N947" s="30" t="n"/>
      <c r="O947" s="31">
        <f>IF(N947="","",IF(G947="Revenue",ROUND(N947*VATRate,2),0))</f>
        <v/>
      </c>
      <c r="P947" s="31">
        <f>IF(N947="","",N947+O947)</f>
        <v/>
      </c>
    </row>
    <row r="948">
      <c r="A948" s="26" t="n"/>
      <c r="B948" s="27">
        <f>IF(A948="","",IF(OR(A948&lt;MIN(Lists!$C$4:$C$15),A948&gt;MAX(Lists!$D$4:$D$15)),"No period",INDEX(Lists!$B$4:$B$15,MATCH(A948,Lists!$C$4:$C$15,1))))</f>
        <v/>
      </c>
      <c r="C948" s="28">
        <f>IF(B948="","",IFERROR(INDEX(Lists!$A$4:$A$15,MATCH(B948,Lists!$B$4:$B$15,0)),0))</f>
        <v/>
      </c>
      <c r="D948" s="25" t="n"/>
      <c r="E948" s="24" t="n"/>
      <c r="F948" s="27">
        <f>IF(E948="","",IFERROR(INDEX(Lists!$H$4:$H$40,MATCH(E948,Lists!$F$4:$F$40,0)),"UNMAPPED"))</f>
        <v/>
      </c>
      <c r="G948" s="25" t="n"/>
      <c r="H948" s="25" t="n"/>
      <c r="I948" s="25" t="n"/>
      <c r="J948" s="25" t="n"/>
      <c r="K948" s="25" t="n"/>
      <c r="L948" s="29" t="n"/>
      <c r="M948" s="25" t="n"/>
      <c r="N948" s="30" t="n"/>
      <c r="O948" s="31">
        <f>IF(N948="","",IF(G948="Revenue",ROUND(N948*VATRate,2),0))</f>
        <v/>
      </c>
      <c r="P948" s="31">
        <f>IF(N948="","",N948+O948)</f>
        <v/>
      </c>
    </row>
    <row r="949">
      <c r="A949" s="26" t="n"/>
      <c r="B949" s="27">
        <f>IF(A949="","",IF(OR(A949&lt;MIN(Lists!$C$4:$C$15),A949&gt;MAX(Lists!$D$4:$D$15)),"No period",INDEX(Lists!$B$4:$B$15,MATCH(A949,Lists!$C$4:$C$15,1))))</f>
        <v/>
      </c>
      <c r="C949" s="28">
        <f>IF(B949="","",IFERROR(INDEX(Lists!$A$4:$A$15,MATCH(B949,Lists!$B$4:$B$15,0)),0))</f>
        <v/>
      </c>
      <c r="D949" s="25" t="n"/>
      <c r="E949" s="24" t="n"/>
      <c r="F949" s="27">
        <f>IF(E949="","",IFERROR(INDEX(Lists!$H$4:$H$40,MATCH(E949,Lists!$F$4:$F$40,0)),"UNMAPPED"))</f>
        <v/>
      </c>
      <c r="G949" s="25" t="n"/>
      <c r="H949" s="25" t="n"/>
      <c r="I949" s="25" t="n"/>
      <c r="J949" s="25" t="n"/>
      <c r="K949" s="25" t="n"/>
      <c r="L949" s="29" t="n"/>
      <c r="M949" s="25" t="n"/>
      <c r="N949" s="30" t="n"/>
      <c r="O949" s="31">
        <f>IF(N949="","",IF(G949="Revenue",ROUND(N949*VATRate,2),0))</f>
        <v/>
      </c>
      <c r="P949" s="31">
        <f>IF(N949="","",N949+O949)</f>
        <v/>
      </c>
    </row>
    <row r="950">
      <c r="A950" s="26" t="n"/>
      <c r="B950" s="27">
        <f>IF(A950="","",IF(OR(A950&lt;MIN(Lists!$C$4:$C$15),A950&gt;MAX(Lists!$D$4:$D$15)),"No period",INDEX(Lists!$B$4:$B$15,MATCH(A950,Lists!$C$4:$C$15,1))))</f>
        <v/>
      </c>
      <c r="C950" s="28">
        <f>IF(B950="","",IFERROR(INDEX(Lists!$A$4:$A$15,MATCH(B950,Lists!$B$4:$B$15,0)),0))</f>
        <v/>
      </c>
      <c r="D950" s="25" t="n"/>
      <c r="E950" s="24" t="n"/>
      <c r="F950" s="27">
        <f>IF(E950="","",IFERROR(INDEX(Lists!$H$4:$H$40,MATCH(E950,Lists!$F$4:$F$40,0)),"UNMAPPED"))</f>
        <v/>
      </c>
      <c r="G950" s="25" t="n"/>
      <c r="H950" s="25" t="n"/>
      <c r="I950" s="25" t="n"/>
      <c r="J950" s="25" t="n"/>
      <c r="K950" s="25" t="n"/>
      <c r="L950" s="29" t="n"/>
      <c r="M950" s="25" t="n"/>
      <c r="N950" s="30" t="n"/>
      <c r="O950" s="31">
        <f>IF(N950="","",IF(G950="Revenue",ROUND(N950*VATRate,2),0))</f>
        <v/>
      </c>
      <c r="P950" s="31">
        <f>IF(N950="","",N950+O950)</f>
        <v/>
      </c>
    </row>
    <row r="951">
      <c r="A951" s="26" t="n"/>
      <c r="B951" s="27">
        <f>IF(A951="","",IF(OR(A951&lt;MIN(Lists!$C$4:$C$15),A951&gt;MAX(Lists!$D$4:$D$15)),"No period",INDEX(Lists!$B$4:$B$15,MATCH(A951,Lists!$C$4:$C$15,1))))</f>
        <v/>
      </c>
      <c r="C951" s="28">
        <f>IF(B951="","",IFERROR(INDEX(Lists!$A$4:$A$15,MATCH(B951,Lists!$B$4:$B$15,0)),0))</f>
        <v/>
      </c>
      <c r="D951" s="25" t="n"/>
      <c r="E951" s="24" t="n"/>
      <c r="F951" s="27">
        <f>IF(E951="","",IFERROR(INDEX(Lists!$H$4:$H$40,MATCH(E951,Lists!$F$4:$F$40,0)),"UNMAPPED"))</f>
        <v/>
      </c>
      <c r="G951" s="25" t="n"/>
      <c r="H951" s="25" t="n"/>
      <c r="I951" s="25" t="n"/>
      <c r="J951" s="25" t="n"/>
      <c r="K951" s="25" t="n"/>
      <c r="L951" s="29" t="n"/>
      <c r="M951" s="25" t="n"/>
      <c r="N951" s="30" t="n"/>
      <c r="O951" s="31">
        <f>IF(N951="","",IF(G951="Revenue",ROUND(N951*VATRate,2),0))</f>
        <v/>
      </c>
      <c r="P951" s="31">
        <f>IF(N951="","",N951+O951)</f>
        <v/>
      </c>
    </row>
    <row r="952">
      <c r="A952" s="26" t="n"/>
      <c r="B952" s="27">
        <f>IF(A952="","",IF(OR(A952&lt;MIN(Lists!$C$4:$C$15),A952&gt;MAX(Lists!$D$4:$D$15)),"No period",INDEX(Lists!$B$4:$B$15,MATCH(A952,Lists!$C$4:$C$15,1))))</f>
        <v/>
      </c>
      <c r="C952" s="28">
        <f>IF(B952="","",IFERROR(INDEX(Lists!$A$4:$A$15,MATCH(B952,Lists!$B$4:$B$15,0)),0))</f>
        <v/>
      </c>
      <c r="D952" s="25" t="n"/>
      <c r="E952" s="24" t="n"/>
      <c r="F952" s="27">
        <f>IF(E952="","",IFERROR(INDEX(Lists!$H$4:$H$40,MATCH(E952,Lists!$F$4:$F$40,0)),"UNMAPPED"))</f>
        <v/>
      </c>
      <c r="G952" s="25" t="n"/>
      <c r="H952" s="25" t="n"/>
      <c r="I952" s="25" t="n"/>
      <c r="J952" s="25" t="n"/>
      <c r="K952" s="25" t="n"/>
      <c r="L952" s="29" t="n"/>
      <c r="M952" s="25" t="n"/>
      <c r="N952" s="30" t="n"/>
      <c r="O952" s="31">
        <f>IF(N952="","",IF(G952="Revenue",ROUND(N952*VATRate,2),0))</f>
        <v/>
      </c>
      <c r="P952" s="31">
        <f>IF(N952="","",N952+O952)</f>
        <v/>
      </c>
    </row>
    <row r="953">
      <c r="A953" s="26" t="n"/>
      <c r="B953" s="27">
        <f>IF(A953="","",IF(OR(A953&lt;MIN(Lists!$C$4:$C$15),A953&gt;MAX(Lists!$D$4:$D$15)),"No period",INDEX(Lists!$B$4:$B$15,MATCH(A953,Lists!$C$4:$C$15,1))))</f>
        <v/>
      </c>
      <c r="C953" s="28">
        <f>IF(B953="","",IFERROR(INDEX(Lists!$A$4:$A$15,MATCH(B953,Lists!$B$4:$B$15,0)),0))</f>
        <v/>
      </c>
      <c r="D953" s="25" t="n"/>
      <c r="E953" s="24" t="n"/>
      <c r="F953" s="27">
        <f>IF(E953="","",IFERROR(INDEX(Lists!$H$4:$H$40,MATCH(E953,Lists!$F$4:$F$40,0)),"UNMAPPED"))</f>
        <v/>
      </c>
      <c r="G953" s="25" t="n"/>
      <c r="H953" s="25" t="n"/>
      <c r="I953" s="25" t="n"/>
      <c r="J953" s="25" t="n"/>
      <c r="K953" s="25" t="n"/>
      <c r="L953" s="29" t="n"/>
      <c r="M953" s="25" t="n"/>
      <c r="N953" s="30" t="n"/>
      <c r="O953" s="31">
        <f>IF(N953="","",IF(G953="Revenue",ROUND(N953*VATRate,2),0))</f>
        <v/>
      </c>
      <c r="P953" s="31">
        <f>IF(N953="","",N953+O953)</f>
        <v/>
      </c>
    </row>
    <row r="954">
      <c r="A954" s="26" t="n"/>
      <c r="B954" s="27">
        <f>IF(A954="","",IF(OR(A954&lt;MIN(Lists!$C$4:$C$15),A954&gt;MAX(Lists!$D$4:$D$15)),"No period",INDEX(Lists!$B$4:$B$15,MATCH(A954,Lists!$C$4:$C$15,1))))</f>
        <v/>
      </c>
      <c r="C954" s="28">
        <f>IF(B954="","",IFERROR(INDEX(Lists!$A$4:$A$15,MATCH(B954,Lists!$B$4:$B$15,0)),0))</f>
        <v/>
      </c>
      <c r="D954" s="25" t="n"/>
      <c r="E954" s="24" t="n"/>
      <c r="F954" s="27">
        <f>IF(E954="","",IFERROR(INDEX(Lists!$H$4:$H$40,MATCH(E954,Lists!$F$4:$F$40,0)),"UNMAPPED"))</f>
        <v/>
      </c>
      <c r="G954" s="25" t="n"/>
      <c r="H954" s="25" t="n"/>
      <c r="I954" s="25" t="n"/>
      <c r="J954" s="25" t="n"/>
      <c r="K954" s="25" t="n"/>
      <c r="L954" s="29" t="n"/>
      <c r="M954" s="25" t="n"/>
      <c r="N954" s="30" t="n"/>
      <c r="O954" s="31">
        <f>IF(N954="","",IF(G954="Revenue",ROUND(N954*VATRate,2),0))</f>
        <v/>
      </c>
      <c r="P954" s="31">
        <f>IF(N954="","",N954+O954)</f>
        <v/>
      </c>
    </row>
    <row r="955">
      <c r="A955" s="26" t="n"/>
      <c r="B955" s="27">
        <f>IF(A955="","",IF(OR(A955&lt;MIN(Lists!$C$4:$C$15),A955&gt;MAX(Lists!$D$4:$D$15)),"No period",INDEX(Lists!$B$4:$B$15,MATCH(A955,Lists!$C$4:$C$15,1))))</f>
        <v/>
      </c>
      <c r="C955" s="28">
        <f>IF(B955="","",IFERROR(INDEX(Lists!$A$4:$A$15,MATCH(B955,Lists!$B$4:$B$15,0)),0))</f>
        <v/>
      </c>
      <c r="D955" s="25" t="n"/>
      <c r="E955" s="24" t="n"/>
      <c r="F955" s="27">
        <f>IF(E955="","",IFERROR(INDEX(Lists!$H$4:$H$40,MATCH(E955,Lists!$F$4:$F$40,0)),"UNMAPPED"))</f>
        <v/>
      </c>
      <c r="G955" s="25" t="n"/>
      <c r="H955" s="25" t="n"/>
      <c r="I955" s="25" t="n"/>
      <c r="J955" s="25" t="n"/>
      <c r="K955" s="25" t="n"/>
      <c r="L955" s="29" t="n"/>
      <c r="M955" s="25" t="n"/>
      <c r="N955" s="30" t="n"/>
      <c r="O955" s="31">
        <f>IF(N955="","",IF(G955="Revenue",ROUND(N955*VATRate,2),0))</f>
        <v/>
      </c>
      <c r="P955" s="31">
        <f>IF(N955="","",N955+O955)</f>
        <v/>
      </c>
    </row>
    <row r="956">
      <c r="A956" s="26" t="n"/>
      <c r="B956" s="27">
        <f>IF(A956="","",IF(OR(A956&lt;MIN(Lists!$C$4:$C$15),A956&gt;MAX(Lists!$D$4:$D$15)),"No period",INDEX(Lists!$B$4:$B$15,MATCH(A956,Lists!$C$4:$C$15,1))))</f>
        <v/>
      </c>
      <c r="C956" s="28">
        <f>IF(B956="","",IFERROR(INDEX(Lists!$A$4:$A$15,MATCH(B956,Lists!$B$4:$B$15,0)),0))</f>
        <v/>
      </c>
      <c r="D956" s="25" t="n"/>
      <c r="E956" s="24" t="n"/>
      <c r="F956" s="27">
        <f>IF(E956="","",IFERROR(INDEX(Lists!$H$4:$H$40,MATCH(E956,Lists!$F$4:$F$40,0)),"UNMAPPED"))</f>
        <v/>
      </c>
      <c r="G956" s="25" t="n"/>
      <c r="H956" s="25" t="n"/>
      <c r="I956" s="25" t="n"/>
      <c r="J956" s="25" t="n"/>
      <c r="K956" s="25" t="n"/>
      <c r="L956" s="29" t="n"/>
      <c r="M956" s="25" t="n"/>
      <c r="N956" s="30" t="n"/>
      <c r="O956" s="31">
        <f>IF(N956="","",IF(G956="Revenue",ROUND(N956*VATRate,2),0))</f>
        <v/>
      </c>
      <c r="P956" s="31">
        <f>IF(N956="","",N956+O956)</f>
        <v/>
      </c>
    </row>
    <row r="957">
      <c r="A957" s="26" t="n"/>
      <c r="B957" s="27">
        <f>IF(A957="","",IF(OR(A957&lt;MIN(Lists!$C$4:$C$15),A957&gt;MAX(Lists!$D$4:$D$15)),"No period",INDEX(Lists!$B$4:$B$15,MATCH(A957,Lists!$C$4:$C$15,1))))</f>
        <v/>
      </c>
      <c r="C957" s="28">
        <f>IF(B957="","",IFERROR(INDEX(Lists!$A$4:$A$15,MATCH(B957,Lists!$B$4:$B$15,0)),0))</f>
        <v/>
      </c>
      <c r="D957" s="25" t="n"/>
      <c r="E957" s="24" t="n"/>
      <c r="F957" s="27">
        <f>IF(E957="","",IFERROR(INDEX(Lists!$H$4:$H$40,MATCH(E957,Lists!$F$4:$F$40,0)),"UNMAPPED"))</f>
        <v/>
      </c>
      <c r="G957" s="25" t="n"/>
      <c r="H957" s="25" t="n"/>
      <c r="I957" s="25" t="n"/>
      <c r="J957" s="25" t="n"/>
      <c r="K957" s="25" t="n"/>
      <c r="L957" s="29" t="n"/>
      <c r="M957" s="25" t="n"/>
      <c r="N957" s="30" t="n"/>
      <c r="O957" s="31">
        <f>IF(N957="","",IF(G957="Revenue",ROUND(N957*VATRate,2),0))</f>
        <v/>
      </c>
      <c r="P957" s="31">
        <f>IF(N957="","",N957+O957)</f>
        <v/>
      </c>
    </row>
    <row r="958">
      <c r="A958" s="26" t="n"/>
      <c r="B958" s="27">
        <f>IF(A958="","",IF(OR(A958&lt;MIN(Lists!$C$4:$C$15),A958&gt;MAX(Lists!$D$4:$D$15)),"No period",INDEX(Lists!$B$4:$B$15,MATCH(A958,Lists!$C$4:$C$15,1))))</f>
        <v/>
      </c>
      <c r="C958" s="28">
        <f>IF(B958="","",IFERROR(INDEX(Lists!$A$4:$A$15,MATCH(B958,Lists!$B$4:$B$15,0)),0))</f>
        <v/>
      </c>
      <c r="D958" s="25" t="n"/>
      <c r="E958" s="24" t="n"/>
      <c r="F958" s="27">
        <f>IF(E958="","",IFERROR(INDEX(Lists!$H$4:$H$40,MATCH(E958,Lists!$F$4:$F$40,0)),"UNMAPPED"))</f>
        <v/>
      </c>
      <c r="G958" s="25" t="n"/>
      <c r="H958" s="25" t="n"/>
      <c r="I958" s="25" t="n"/>
      <c r="J958" s="25" t="n"/>
      <c r="K958" s="25" t="n"/>
      <c r="L958" s="29" t="n"/>
      <c r="M958" s="25" t="n"/>
      <c r="N958" s="30" t="n"/>
      <c r="O958" s="31">
        <f>IF(N958="","",IF(G958="Revenue",ROUND(N958*VATRate,2),0))</f>
        <v/>
      </c>
      <c r="P958" s="31">
        <f>IF(N958="","",N958+O958)</f>
        <v/>
      </c>
    </row>
    <row r="959">
      <c r="A959" s="26" t="n"/>
      <c r="B959" s="27">
        <f>IF(A959="","",IF(OR(A959&lt;MIN(Lists!$C$4:$C$15),A959&gt;MAX(Lists!$D$4:$D$15)),"No period",INDEX(Lists!$B$4:$B$15,MATCH(A959,Lists!$C$4:$C$15,1))))</f>
        <v/>
      </c>
      <c r="C959" s="28">
        <f>IF(B959="","",IFERROR(INDEX(Lists!$A$4:$A$15,MATCH(B959,Lists!$B$4:$B$15,0)),0))</f>
        <v/>
      </c>
      <c r="D959" s="25" t="n"/>
      <c r="E959" s="24" t="n"/>
      <c r="F959" s="27">
        <f>IF(E959="","",IFERROR(INDEX(Lists!$H$4:$H$40,MATCH(E959,Lists!$F$4:$F$40,0)),"UNMAPPED"))</f>
        <v/>
      </c>
      <c r="G959" s="25" t="n"/>
      <c r="H959" s="25" t="n"/>
      <c r="I959" s="25" t="n"/>
      <c r="J959" s="25" t="n"/>
      <c r="K959" s="25" t="n"/>
      <c r="L959" s="29" t="n"/>
      <c r="M959" s="25" t="n"/>
      <c r="N959" s="30" t="n"/>
      <c r="O959" s="31">
        <f>IF(N959="","",IF(G959="Revenue",ROUND(N959*VATRate,2),0))</f>
        <v/>
      </c>
      <c r="P959" s="31">
        <f>IF(N959="","",N959+O959)</f>
        <v/>
      </c>
    </row>
    <row r="960">
      <c r="A960" s="26" t="n"/>
      <c r="B960" s="27">
        <f>IF(A960="","",IF(OR(A960&lt;MIN(Lists!$C$4:$C$15),A960&gt;MAX(Lists!$D$4:$D$15)),"No period",INDEX(Lists!$B$4:$B$15,MATCH(A960,Lists!$C$4:$C$15,1))))</f>
        <v/>
      </c>
      <c r="C960" s="28">
        <f>IF(B960="","",IFERROR(INDEX(Lists!$A$4:$A$15,MATCH(B960,Lists!$B$4:$B$15,0)),0))</f>
        <v/>
      </c>
      <c r="D960" s="25" t="n"/>
      <c r="E960" s="24" t="n"/>
      <c r="F960" s="27">
        <f>IF(E960="","",IFERROR(INDEX(Lists!$H$4:$H$40,MATCH(E960,Lists!$F$4:$F$40,0)),"UNMAPPED"))</f>
        <v/>
      </c>
      <c r="G960" s="25" t="n"/>
      <c r="H960" s="25" t="n"/>
      <c r="I960" s="25" t="n"/>
      <c r="J960" s="25" t="n"/>
      <c r="K960" s="25" t="n"/>
      <c r="L960" s="29" t="n"/>
      <c r="M960" s="25" t="n"/>
      <c r="N960" s="30" t="n"/>
      <c r="O960" s="31">
        <f>IF(N960="","",IF(G960="Revenue",ROUND(N960*VATRate,2),0))</f>
        <v/>
      </c>
      <c r="P960" s="31">
        <f>IF(N960="","",N960+O960)</f>
        <v/>
      </c>
    </row>
    <row r="961">
      <c r="A961" s="26" t="n"/>
      <c r="B961" s="27">
        <f>IF(A961="","",IF(OR(A961&lt;MIN(Lists!$C$4:$C$15),A961&gt;MAX(Lists!$D$4:$D$15)),"No period",INDEX(Lists!$B$4:$B$15,MATCH(A961,Lists!$C$4:$C$15,1))))</f>
        <v/>
      </c>
      <c r="C961" s="28">
        <f>IF(B961="","",IFERROR(INDEX(Lists!$A$4:$A$15,MATCH(B961,Lists!$B$4:$B$15,0)),0))</f>
        <v/>
      </c>
      <c r="D961" s="25" t="n"/>
      <c r="E961" s="24" t="n"/>
      <c r="F961" s="27">
        <f>IF(E961="","",IFERROR(INDEX(Lists!$H$4:$H$40,MATCH(E961,Lists!$F$4:$F$40,0)),"UNMAPPED"))</f>
        <v/>
      </c>
      <c r="G961" s="25" t="n"/>
      <c r="H961" s="25" t="n"/>
      <c r="I961" s="25" t="n"/>
      <c r="J961" s="25" t="n"/>
      <c r="K961" s="25" t="n"/>
      <c r="L961" s="29" t="n"/>
      <c r="M961" s="25" t="n"/>
      <c r="N961" s="30" t="n"/>
      <c r="O961" s="31">
        <f>IF(N961="","",IF(G961="Revenue",ROUND(N961*VATRate,2),0))</f>
        <v/>
      </c>
      <c r="P961" s="31">
        <f>IF(N961="","",N961+O961)</f>
        <v/>
      </c>
    </row>
    <row r="962">
      <c r="A962" s="26" t="n"/>
      <c r="B962" s="27">
        <f>IF(A962="","",IF(OR(A962&lt;MIN(Lists!$C$4:$C$15),A962&gt;MAX(Lists!$D$4:$D$15)),"No period",INDEX(Lists!$B$4:$B$15,MATCH(A962,Lists!$C$4:$C$15,1))))</f>
        <v/>
      </c>
      <c r="C962" s="28">
        <f>IF(B962="","",IFERROR(INDEX(Lists!$A$4:$A$15,MATCH(B962,Lists!$B$4:$B$15,0)),0))</f>
        <v/>
      </c>
      <c r="D962" s="25" t="n"/>
      <c r="E962" s="24" t="n"/>
      <c r="F962" s="27">
        <f>IF(E962="","",IFERROR(INDEX(Lists!$H$4:$H$40,MATCH(E962,Lists!$F$4:$F$40,0)),"UNMAPPED"))</f>
        <v/>
      </c>
      <c r="G962" s="25" t="n"/>
      <c r="H962" s="25" t="n"/>
      <c r="I962" s="25" t="n"/>
      <c r="J962" s="25" t="n"/>
      <c r="K962" s="25" t="n"/>
      <c r="L962" s="29" t="n"/>
      <c r="M962" s="25" t="n"/>
      <c r="N962" s="30" t="n"/>
      <c r="O962" s="31">
        <f>IF(N962="","",IF(G962="Revenue",ROUND(N962*VATRate,2),0))</f>
        <v/>
      </c>
      <c r="P962" s="31">
        <f>IF(N962="","",N962+O962)</f>
        <v/>
      </c>
    </row>
    <row r="963">
      <c r="A963" s="26" t="n"/>
      <c r="B963" s="27">
        <f>IF(A963="","",IF(OR(A963&lt;MIN(Lists!$C$4:$C$15),A963&gt;MAX(Lists!$D$4:$D$15)),"No period",INDEX(Lists!$B$4:$B$15,MATCH(A963,Lists!$C$4:$C$15,1))))</f>
        <v/>
      </c>
      <c r="C963" s="28">
        <f>IF(B963="","",IFERROR(INDEX(Lists!$A$4:$A$15,MATCH(B963,Lists!$B$4:$B$15,0)),0))</f>
        <v/>
      </c>
      <c r="D963" s="25" t="n"/>
      <c r="E963" s="24" t="n"/>
      <c r="F963" s="27">
        <f>IF(E963="","",IFERROR(INDEX(Lists!$H$4:$H$40,MATCH(E963,Lists!$F$4:$F$40,0)),"UNMAPPED"))</f>
        <v/>
      </c>
      <c r="G963" s="25" t="n"/>
      <c r="H963" s="25" t="n"/>
      <c r="I963" s="25" t="n"/>
      <c r="J963" s="25" t="n"/>
      <c r="K963" s="25" t="n"/>
      <c r="L963" s="29" t="n"/>
      <c r="M963" s="25" t="n"/>
      <c r="N963" s="30" t="n"/>
      <c r="O963" s="31">
        <f>IF(N963="","",IF(G963="Revenue",ROUND(N963*VATRate,2),0))</f>
        <v/>
      </c>
      <c r="P963" s="31">
        <f>IF(N963="","",N963+O963)</f>
        <v/>
      </c>
    </row>
    <row r="964">
      <c r="A964" s="26" t="n"/>
      <c r="B964" s="27">
        <f>IF(A964="","",IF(OR(A964&lt;MIN(Lists!$C$4:$C$15),A964&gt;MAX(Lists!$D$4:$D$15)),"No period",INDEX(Lists!$B$4:$B$15,MATCH(A964,Lists!$C$4:$C$15,1))))</f>
        <v/>
      </c>
      <c r="C964" s="28">
        <f>IF(B964="","",IFERROR(INDEX(Lists!$A$4:$A$15,MATCH(B964,Lists!$B$4:$B$15,0)),0))</f>
        <v/>
      </c>
      <c r="D964" s="25" t="n"/>
      <c r="E964" s="24" t="n"/>
      <c r="F964" s="27">
        <f>IF(E964="","",IFERROR(INDEX(Lists!$H$4:$H$40,MATCH(E964,Lists!$F$4:$F$40,0)),"UNMAPPED"))</f>
        <v/>
      </c>
      <c r="G964" s="25" t="n"/>
      <c r="H964" s="25" t="n"/>
      <c r="I964" s="25" t="n"/>
      <c r="J964" s="25" t="n"/>
      <c r="K964" s="25" t="n"/>
      <c r="L964" s="29" t="n"/>
      <c r="M964" s="25" t="n"/>
      <c r="N964" s="30" t="n"/>
      <c r="O964" s="31">
        <f>IF(N964="","",IF(G964="Revenue",ROUND(N964*VATRate,2),0))</f>
        <v/>
      </c>
      <c r="P964" s="31">
        <f>IF(N964="","",N964+O964)</f>
        <v/>
      </c>
    </row>
    <row r="965">
      <c r="A965" s="26" t="n"/>
      <c r="B965" s="27">
        <f>IF(A965="","",IF(OR(A965&lt;MIN(Lists!$C$4:$C$15),A965&gt;MAX(Lists!$D$4:$D$15)),"No period",INDEX(Lists!$B$4:$B$15,MATCH(A965,Lists!$C$4:$C$15,1))))</f>
        <v/>
      </c>
      <c r="C965" s="28">
        <f>IF(B965="","",IFERROR(INDEX(Lists!$A$4:$A$15,MATCH(B965,Lists!$B$4:$B$15,0)),0))</f>
        <v/>
      </c>
      <c r="D965" s="25" t="n"/>
      <c r="E965" s="24" t="n"/>
      <c r="F965" s="27">
        <f>IF(E965="","",IFERROR(INDEX(Lists!$H$4:$H$40,MATCH(E965,Lists!$F$4:$F$40,0)),"UNMAPPED"))</f>
        <v/>
      </c>
      <c r="G965" s="25" t="n"/>
      <c r="H965" s="25" t="n"/>
      <c r="I965" s="25" t="n"/>
      <c r="J965" s="25" t="n"/>
      <c r="K965" s="25" t="n"/>
      <c r="L965" s="29" t="n"/>
      <c r="M965" s="25" t="n"/>
      <c r="N965" s="30" t="n"/>
      <c r="O965" s="31">
        <f>IF(N965="","",IF(G965="Revenue",ROUND(N965*VATRate,2),0))</f>
        <v/>
      </c>
      <c r="P965" s="31">
        <f>IF(N965="","",N965+O965)</f>
        <v/>
      </c>
    </row>
    <row r="966">
      <c r="A966" s="26" t="n"/>
      <c r="B966" s="27">
        <f>IF(A966="","",IF(OR(A966&lt;MIN(Lists!$C$4:$C$15),A966&gt;MAX(Lists!$D$4:$D$15)),"No period",INDEX(Lists!$B$4:$B$15,MATCH(A966,Lists!$C$4:$C$15,1))))</f>
        <v/>
      </c>
      <c r="C966" s="28">
        <f>IF(B966="","",IFERROR(INDEX(Lists!$A$4:$A$15,MATCH(B966,Lists!$B$4:$B$15,0)),0))</f>
        <v/>
      </c>
      <c r="D966" s="25" t="n"/>
      <c r="E966" s="24" t="n"/>
      <c r="F966" s="27">
        <f>IF(E966="","",IFERROR(INDEX(Lists!$H$4:$H$40,MATCH(E966,Lists!$F$4:$F$40,0)),"UNMAPPED"))</f>
        <v/>
      </c>
      <c r="G966" s="25" t="n"/>
      <c r="H966" s="25" t="n"/>
      <c r="I966" s="25" t="n"/>
      <c r="J966" s="25" t="n"/>
      <c r="K966" s="25" t="n"/>
      <c r="L966" s="29" t="n"/>
      <c r="M966" s="25" t="n"/>
      <c r="N966" s="30" t="n"/>
      <c r="O966" s="31">
        <f>IF(N966="","",IF(G966="Revenue",ROUND(N966*VATRate,2),0))</f>
        <v/>
      </c>
      <c r="P966" s="31">
        <f>IF(N966="","",N966+O966)</f>
        <v/>
      </c>
    </row>
    <row r="967">
      <c r="A967" s="26" t="n"/>
      <c r="B967" s="27">
        <f>IF(A967="","",IF(OR(A967&lt;MIN(Lists!$C$4:$C$15),A967&gt;MAX(Lists!$D$4:$D$15)),"No period",INDEX(Lists!$B$4:$B$15,MATCH(A967,Lists!$C$4:$C$15,1))))</f>
        <v/>
      </c>
      <c r="C967" s="28">
        <f>IF(B967="","",IFERROR(INDEX(Lists!$A$4:$A$15,MATCH(B967,Lists!$B$4:$B$15,0)),0))</f>
        <v/>
      </c>
      <c r="D967" s="25" t="n"/>
      <c r="E967" s="24" t="n"/>
      <c r="F967" s="27">
        <f>IF(E967="","",IFERROR(INDEX(Lists!$H$4:$H$40,MATCH(E967,Lists!$F$4:$F$40,0)),"UNMAPPED"))</f>
        <v/>
      </c>
      <c r="G967" s="25" t="n"/>
      <c r="H967" s="25" t="n"/>
      <c r="I967" s="25" t="n"/>
      <c r="J967" s="25" t="n"/>
      <c r="K967" s="25" t="n"/>
      <c r="L967" s="29" t="n"/>
      <c r="M967" s="25" t="n"/>
      <c r="N967" s="30" t="n"/>
      <c r="O967" s="31">
        <f>IF(N967="","",IF(G967="Revenue",ROUND(N967*VATRate,2),0))</f>
        <v/>
      </c>
      <c r="P967" s="31">
        <f>IF(N967="","",N967+O967)</f>
        <v/>
      </c>
    </row>
    <row r="968">
      <c r="A968" s="26" t="n"/>
      <c r="B968" s="27">
        <f>IF(A968="","",IF(OR(A968&lt;MIN(Lists!$C$4:$C$15),A968&gt;MAX(Lists!$D$4:$D$15)),"No period",INDEX(Lists!$B$4:$B$15,MATCH(A968,Lists!$C$4:$C$15,1))))</f>
        <v/>
      </c>
      <c r="C968" s="28">
        <f>IF(B968="","",IFERROR(INDEX(Lists!$A$4:$A$15,MATCH(B968,Lists!$B$4:$B$15,0)),0))</f>
        <v/>
      </c>
      <c r="D968" s="25" t="n"/>
      <c r="E968" s="24" t="n"/>
      <c r="F968" s="27">
        <f>IF(E968="","",IFERROR(INDEX(Lists!$H$4:$H$40,MATCH(E968,Lists!$F$4:$F$40,0)),"UNMAPPED"))</f>
        <v/>
      </c>
      <c r="G968" s="25" t="n"/>
      <c r="H968" s="25" t="n"/>
      <c r="I968" s="25" t="n"/>
      <c r="J968" s="25" t="n"/>
      <c r="K968" s="25" t="n"/>
      <c r="L968" s="29" t="n"/>
      <c r="M968" s="25" t="n"/>
      <c r="N968" s="30" t="n"/>
      <c r="O968" s="31">
        <f>IF(N968="","",IF(G968="Revenue",ROUND(N968*VATRate,2),0))</f>
        <v/>
      </c>
      <c r="P968" s="31">
        <f>IF(N968="","",N968+O968)</f>
        <v/>
      </c>
    </row>
    <row r="969">
      <c r="A969" s="26" t="n"/>
      <c r="B969" s="27">
        <f>IF(A969="","",IF(OR(A969&lt;MIN(Lists!$C$4:$C$15),A969&gt;MAX(Lists!$D$4:$D$15)),"No period",INDEX(Lists!$B$4:$B$15,MATCH(A969,Lists!$C$4:$C$15,1))))</f>
        <v/>
      </c>
      <c r="C969" s="28">
        <f>IF(B969="","",IFERROR(INDEX(Lists!$A$4:$A$15,MATCH(B969,Lists!$B$4:$B$15,0)),0))</f>
        <v/>
      </c>
      <c r="D969" s="25" t="n"/>
      <c r="E969" s="24" t="n"/>
      <c r="F969" s="27">
        <f>IF(E969="","",IFERROR(INDEX(Lists!$H$4:$H$40,MATCH(E969,Lists!$F$4:$F$40,0)),"UNMAPPED"))</f>
        <v/>
      </c>
      <c r="G969" s="25" t="n"/>
      <c r="H969" s="25" t="n"/>
      <c r="I969" s="25" t="n"/>
      <c r="J969" s="25" t="n"/>
      <c r="K969" s="25" t="n"/>
      <c r="L969" s="29" t="n"/>
      <c r="M969" s="25" t="n"/>
      <c r="N969" s="30" t="n"/>
      <c r="O969" s="31">
        <f>IF(N969="","",IF(G969="Revenue",ROUND(N969*VATRate,2),0))</f>
        <v/>
      </c>
      <c r="P969" s="31">
        <f>IF(N969="","",N969+O969)</f>
        <v/>
      </c>
    </row>
    <row r="970">
      <c r="A970" s="26" t="n"/>
      <c r="B970" s="27">
        <f>IF(A970="","",IF(OR(A970&lt;MIN(Lists!$C$4:$C$15),A970&gt;MAX(Lists!$D$4:$D$15)),"No period",INDEX(Lists!$B$4:$B$15,MATCH(A970,Lists!$C$4:$C$15,1))))</f>
        <v/>
      </c>
      <c r="C970" s="28">
        <f>IF(B970="","",IFERROR(INDEX(Lists!$A$4:$A$15,MATCH(B970,Lists!$B$4:$B$15,0)),0))</f>
        <v/>
      </c>
      <c r="D970" s="25" t="n"/>
      <c r="E970" s="24" t="n"/>
      <c r="F970" s="27">
        <f>IF(E970="","",IFERROR(INDEX(Lists!$H$4:$H$40,MATCH(E970,Lists!$F$4:$F$40,0)),"UNMAPPED"))</f>
        <v/>
      </c>
      <c r="G970" s="25" t="n"/>
      <c r="H970" s="25" t="n"/>
      <c r="I970" s="25" t="n"/>
      <c r="J970" s="25" t="n"/>
      <c r="K970" s="25" t="n"/>
      <c r="L970" s="29" t="n"/>
      <c r="M970" s="25" t="n"/>
      <c r="N970" s="30" t="n"/>
      <c r="O970" s="31">
        <f>IF(N970="","",IF(G970="Revenue",ROUND(N970*VATRate,2),0))</f>
        <v/>
      </c>
      <c r="P970" s="31">
        <f>IF(N970="","",N970+O970)</f>
        <v/>
      </c>
    </row>
    <row r="971">
      <c r="A971" s="26" t="n"/>
      <c r="B971" s="27">
        <f>IF(A971="","",IF(OR(A971&lt;MIN(Lists!$C$4:$C$15),A971&gt;MAX(Lists!$D$4:$D$15)),"No period",INDEX(Lists!$B$4:$B$15,MATCH(A971,Lists!$C$4:$C$15,1))))</f>
        <v/>
      </c>
      <c r="C971" s="28">
        <f>IF(B971="","",IFERROR(INDEX(Lists!$A$4:$A$15,MATCH(B971,Lists!$B$4:$B$15,0)),0))</f>
        <v/>
      </c>
      <c r="D971" s="25" t="n"/>
      <c r="E971" s="24" t="n"/>
      <c r="F971" s="27">
        <f>IF(E971="","",IFERROR(INDEX(Lists!$H$4:$H$40,MATCH(E971,Lists!$F$4:$F$40,0)),"UNMAPPED"))</f>
        <v/>
      </c>
      <c r="G971" s="25" t="n"/>
      <c r="H971" s="25" t="n"/>
      <c r="I971" s="25" t="n"/>
      <c r="J971" s="25" t="n"/>
      <c r="K971" s="25" t="n"/>
      <c r="L971" s="29" t="n"/>
      <c r="M971" s="25" t="n"/>
      <c r="N971" s="30" t="n"/>
      <c r="O971" s="31">
        <f>IF(N971="","",IF(G971="Revenue",ROUND(N971*VATRate,2),0))</f>
        <v/>
      </c>
      <c r="P971" s="31">
        <f>IF(N971="","",N971+O971)</f>
        <v/>
      </c>
    </row>
    <row r="972">
      <c r="A972" s="26" t="n"/>
      <c r="B972" s="27">
        <f>IF(A972="","",IF(OR(A972&lt;MIN(Lists!$C$4:$C$15),A972&gt;MAX(Lists!$D$4:$D$15)),"No period",INDEX(Lists!$B$4:$B$15,MATCH(A972,Lists!$C$4:$C$15,1))))</f>
        <v/>
      </c>
      <c r="C972" s="28">
        <f>IF(B972="","",IFERROR(INDEX(Lists!$A$4:$A$15,MATCH(B972,Lists!$B$4:$B$15,0)),0))</f>
        <v/>
      </c>
      <c r="D972" s="25" t="n"/>
      <c r="E972" s="24" t="n"/>
      <c r="F972" s="27">
        <f>IF(E972="","",IFERROR(INDEX(Lists!$H$4:$H$40,MATCH(E972,Lists!$F$4:$F$40,0)),"UNMAPPED"))</f>
        <v/>
      </c>
      <c r="G972" s="25" t="n"/>
      <c r="H972" s="25" t="n"/>
      <c r="I972" s="25" t="n"/>
      <c r="J972" s="25" t="n"/>
      <c r="K972" s="25" t="n"/>
      <c r="L972" s="29" t="n"/>
      <c r="M972" s="25" t="n"/>
      <c r="N972" s="30" t="n"/>
      <c r="O972" s="31">
        <f>IF(N972="","",IF(G972="Revenue",ROUND(N972*VATRate,2),0))</f>
        <v/>
      </c>
      <c r="P972" s="31">
        <f>IF(N972="","",N972+O972)</f>
        <v/>
      </c>
    </row>
    <row r="973">
      <c r="A973" s="26" t="n"/>
      <c r="B973" s="27">
        <f>IF(A973="","",IF(OR(A973&lt;MIN(Lists!$C$4:$C$15),A973&gt;MAX(Lists!$D$4:$D$15)),"No period",INDEX(Lists!$B$4:$B$15,MATCH(A973,Lists!$C$4:$C$15,1))))</f>
        <v/>
      </c>
      <c r="C973" s="28">
        <f>IF(B973="","",IFERROR(INDEX(Lists!$A$4:$A$15,MATCH(B973,Lists!$B$4:$B$15,0)),0))</f>
        <v/>
      </c>
      <c r="D973" s="25" t="n"/>
      <c r="E973" s="24" t="n"/>
      <c r="F973" s="27">
        <f>IF(E973="","",IFERROR(INDEX(Lists!$H$4:$H$40,MATCH(E973,Lists!$F$4:$F$40,0)),"UNMAPPED"))</f>
        <v/>
      </c>
      <c r="G973" s="25" t="n"/>
      <c r="H973" s="25" t="n"/>
      <c r="I973" s="25" t="n"/>
      <c r="J973" s="25" t="n"/>
      <c r="K973" s="25" t="n"/>
      <c r="L973" s="29" t="n"/>
      <c r="M973" s="25" t="n"/>
      <c r="N973" s="30" t="n"/>
      <c r="O973" s="31">
        <f>IF(N973="","",IF(G973="Revenue",ROUND(N973*VATRate,2),0))</f>
        <v/>
      </c>
      <c r="P973" s="31">
        <f>IF(N973="","",N973+O973)</f>
        <v/>
      </c>
    </row>
    <row r="974">
      <c r="A974" s="26" t="n"/>
      <c r="B974" s="27">
        <f>IF(A974="","",IF(OR(A974&lt;MIN(Lists!$C$4:$C$15),A974&gt;MAX(Lists!$D$4:$D$15)),"No period",INDEX(Lists!$B$4:$B$15,MATCH(A974,Lists!$C$4:$C$15,1))))</f>
        <v/>
      </c>
      <c r="C974" s="28">
        <f>IF(B974="","",IFERROR(INDEX(Lists!$A$4:$A$15,MATCH(B974,Lists!$B$4:$B$15,0)),0))</f>
        <v/>
      </c>
      <c r="D974" s="25" t="n"/>
      <c r="E974" s="24" t="n"/>
      <c r="F974" s="27">
        <f>IF(E974="","",IFERROR(INDEX(Lists!$H$4:$H$40,MATCH(E974,Lists!$F$4:$F$40,0)),"UNMAPPED"))</f>
        <v/>
      </c>
      <c r="G974" s="25" t="n"/>
      <c r="H974" s="25" t="n"/>
      <c r="I974" s="25" t="n"/>
      <c r="J974" s="25" t="n"/>
      <c r="K974" s="25" t="n"/>
      <c r="L974" s="29" t="n"/>
      <c r="M974" s="25" t="n"/>
      <c r="N974" s="30" t="n"/>
      <c r="O974" s="31">
        <f>IF(N974="","",IF(G974="Revenue",ROUND(N974*VATRate,2),0))</f>
        <v/>
      </c>
      <c r="P974" s="31">
        <f>IF(N974="","",N974+O974)</f>
        <v/>
      </c>
    </row>
    <row r="975">
      <c r="A975" s="26" t="n"/>
      <c r="B975" s="27">
        <f>IF(A975="","",IF(OR(A975&lt;MIN(Lists!$C$4:$C$15),A975&gt;MAX(Lists!$D$4:$D$15)),"No period",INDEX(Lists!$B$4:$B$15,MATCH(A975,Lists!$C$4:$C$15,1))))</f>
        <v/>
      </c>
      <c r="C975" s="28">
        <f>IF(B975="","",IFERROR(INDEX(Lists!$A$4:$A$15,MATCH(B975,Lists!$B$4:$B$15,0)),0))</f>
        <v/>
      </c>
      <c r="D975" s="25" t="n"/>
      <c r="E975" s="24" t="n"/>
      <c r="F975" s="27">
        <f>IF(E975="","",IFERROR(INDEX(Lists!$H$4:$H$40,MATCH(E975,Lists!$F$4:$F$40,0)),"UNMAPPED"))</f>
        <v/>
      </c>
      <c r="G975" s="25" t="n"/>
      <c r="H975" s="25" t="n"/>
      <c r="I975" s="25" t="n"/>
      <c r="J975" s="25" t="n"/>
      <c r="K975" s="25" t="n"/>
      <c r="L975" s="29" t="n"/>
      <c r="M975" s="25" t="n"/>
      <c r="N975" s="30" t="n"/>
      <c r="O975" s="31">
        <f>IF(N975="","",IF(G975="Revenue",ROUND(N975*VATRate,2),0))</f>
        <v/>
      </c>
      <c r="P975" s="31">
        <f>IF(N975="","",N975+O975)</f>
        <v/>
      </c>
    </row>
    <row r="976">
      <c r="A976" s="26" t="n"/>
      <c r="B976" s="27">
        <f>IF(A976="","",IF(OR(A976&lt;MIN(Lists!$C$4:$C$15),A976&gt;MAX(Lists!$D$4:$D$15)),"No period",INDEX(Lists!$B$4:$B$15,MATCH(A976,Lists!$C$4:$C$15,1))))</f>
        <v/>
      </c>
      <c r="C976" s="28">
        <f>IF(B976="","",IFERROR(INDEX(Lists!$A$4:$A$15,MATCH(B976,Lists!$B$4:$B$15,0)),0))</f>
        <v/>
      </c>
      <c r="D976" s="25" t="n"/>
      <c r="E976" s="24" t="n"/>
      <c r="F976" s="27">
        <f>IF(E976="","",IFERROR(INDEX(Lists!$H$4:$H$40,MATCH(E976,Lists!$F$4:$F$40,0)),"UNMAPPED"))</f>
        <v/>
      </c>
      <c r="G976" s="25" t="n"/>
      <c r="H976" s="25" t="n"/>
      <c r="I976" s="25" t="n"/>
      <c r="J976" s="25" t="n"/>
      <c r="K976" s="25" t="n"/>
      <c r="L976" s="29" t="n"/>
      <c r="M976" s="25" t="n"/>
      <c r="N976" s="30" t="n"/>
      <c r="O976" s="31">
        <f>IF(N976="","",IF(G976="Revenue",ROUND(N976*VATRate,2),0))</f>
        <v/>
      </c>
      <c r="P976" s="31">
        <f>IF(N976="","",N976+O976)</f>
        <v/>
      </c>
    </row>
    <row r="977">
      <c r="A977" s="26" t="n"/>
      <c r="B977" s="27">
        <f>IF(A977="","",IF(OR(A977&lt;MIN(Lists!$C$4:$C$15),A977&gt;MAX(Lists!$D$4:$D$15)),"No period",INDEX(Lists!$B$4:$B$15,MATCH(A977,Lists!$C$4:$C$15,1))))</f>
        <v/>
      </c>
      <c r="C977" s="28">
        <f>IF(B977="","",IFERROR(INDEX(Lists!$A$4:$A$15,MATCH(B977,Lists!$B$4:$B$15,0)),0))</f>
        <v/>
      </c>
      <c r="D977" s="25" t="n"/>
      <c r="E977" s="24" t="n"/>
      <c r="F977" s="27">
        <f>IF(E977="","",IFERROR(INDEX(Lists!$H$4:$H$40,MATCH(E977,Lists!$F$4:$F$40,0)),"UNMAPPED"))</f>
        <v/>
      </c>
      <c r="G977" s="25" t="n"/>
      <c r="H977" s="25" t="n"/>
      <c r="I977" s="25" t="n"/>
      <c r="J977" s="25" t="n"/>
      <c r="K977" s="25" t="n"/>
      <c r="L977" s="29" t="n"/>
      <c r="M977" s="25" t="n"/>
      <c r="N977" s="30" t="n"/>
      <c r="O977" s="31">
        <f>IF(N977="","",IF(G977="Revenue",ROUND(N977*VATRate,2),0))</f>
        <v/>
      </c>
      <c r="P977" s="31">
        <f>IF(N977="","",N977+O977)</f>
        <v/>
      </c>
    </row>
    <row r="978">
      <c r="A978" s="26" t="n"/>
      <c r="B978" s="27">
        <f>IF(A978="","",IF(OR(A978&lt;MIN(Lists!$C$4:$C$15),A978&gt;MAX(Lists!$D$4:$D$15)),"No period",INDEX(Lists!$B$4:$B$15,MATCH(A978,Lists!$C$4:$C$15,1))))</f>
        <v/>
      </c>
      <c r="C978" s="28">
        <f>IF(B978="","",IFERROR(INDEX(Lists!$A$4:$A$15,MATCH(B978,Lists!$B$4:$B$15,0)),0))</f>
        <v/>
      </c>
      <c r="D978" s="25" t="n"/>
      <c r="E978" s="24" t="n"/>
      <c r="F978" s="27">
        <f>IF(E978="","",IFERROR(INDEX(Lists!$H$4:$H$40,MATCH(E978,Lists!$F$4:$F$40,0)),"UNMAPPED"))</f>
        <v/>
      </c>
      <c r="G978" s="25" t="n"/>
      <c r="H978" s="25" t="n"/>
      <c r="I978" s="25" t="n"/>
      <c r="J978" s="25" t="n"/>
      <c r="K978" s="25" t="n"/>
      <c r="L978" s="29" t="n"/>
      <c r="M978" s="25" t="n"/>
      <c r="N978" s="30" t="n"/>
      <c r="O978" s="31">
        <f>IF(N978="","",IF(G978="Revenue",ROUND(N978*VATRate,2),0))</f>
        <v/>
      </c>
      <c r="P978" s="31">
        <f>IF(N978="","",N978+O978)</f>
        <v/>
      </c>
    </row>
    <row r="979">
      <c r="A979" s="26" t="n"/>
      <c r="B979" s="27">
        <f>IF(A979="","",IF(OR(A979&lt;MIN(Lists!$C$4:$C$15),A979&gt;MAX(Lists!$D$4:$D$15)),"No period",INDEX(Lists!$B$4:$B$15,MATCH(A979,Lists!$C$4:$C$15,1))))</f>
        <v/>
      </c>
      <c r="C979" s="28">
        <f>IF(B979="","",IFERROR(INDEX(Lists!$A$4:$A$15,MATCH(B979,Lists!$B$4:$B$15,0)),0))</f>
        <v/>
      </c>
      <c r="D979" s="25" t="n"/>
      <c r="E979" s="24" t="n"/>
      <c r="F979" s="27">
        <f>IF(E979="","",IFERROR(INDEX(Lists!$H$4:$H$40,MATCH(E979,Lists!$F$4:$F$40,0)),"UNMAPPED"))</f>
        <v/>
      </c>
      <c r="G979" s="25" t="n"/>
      <c r="H979" s="25" t="n"/>
      <c r="I979" s="25" t="n"/>
      <c r="J979" s="25" t="n"/>
      <c r="K979" s="25" t="n"/>
      <c r="L979" s="29" t="n"/>
      <c r="M979" s="25" t="n"/>
      <c r="N979" s="30" t="n"/>
      <c r="O979" s="31">
        <f>IF(N979="","",IF(G979="Revenue",ROUND(N979*VATRate,2),0))</f>
        <v/>
      </c>
      <c r="P979" s="31">
        <f>IF(N979="","",N979+O979)</f>
        <v/>
      </c>
    </row>
    <row r="980">
      <c r="A980" s="26" t="n"/>
      <c r="B980" s="27">
        <f>IF(A980="","",IF(OR(A980&lt;MIN(Lists!$C$4:$C$15),A980&gt;MAX(Lists!$D$4:$D$15)),"No period",INDEX(Lists!$B$4:$B$15,MATCH(A980,Lists!$C$4:$C$15,1))))</f>
        <v/>
      </c>
      <c r="C980" s="28">
        <f>IF(B980="","",IFERROR(INDEX(Lists!$A$4:$A$15,MATCH(B980,Lists!$B$4:$B$15,0)),0))</f>
        <v/>
      </c>
      <c r="D980" s="25" t="n"/>
      <c r="E980" s="24" t="n"/>
      <c r="F980" s="27">
        <f>IF(E980="","",IFERROR(INDEX(Lists!$H$4:$H$40,MATCH(E980,Lists!$F$4:$F$40,0)),"UNMAPPED"))</f>
        <v/>
      </c>
      <c r="G980" s="25" t="n"/>
      <c r="H980" s="25" t="n"/>
      <c r="I980" s="25" t="n"/>
      <c r="J980" s="25" t="n"/>
      <c r="K980" s="25" t="n"/>
      <c r="L980" s="29" t="n"/>
      <c r="M980" s="25" t="n"/>
      <c r="N980" s="30" t="n"/>
      <c r="O980" s="31">
        <f>IF(N980="","",IF(G980="Revenue",ROUND(N980*VATRate,2),0))</f>
        <v/>
      </c>
      <c r="P980" s="31">
        <f>IF(N980="","",N980+O980)</f>
        <v/>
      </c>
    </row>
    <row r="981">
      <c r="A981" s="26" t="n"/>
      <c r="B981" s="27">
        <f>IF(A981="","",IF(OR(A981&lt;MIN(Lists!$C$4:$C$15),A981&gt;MAX(Lists!$D$4:$D$15)),"No period",INDEX(Lists!$B$4:$B$15,MATCH(A981,Lists!$C$4:$C$15,1))))</f>
        <v/>
      </c>
      <c r="C981" s="28">
        <f>IF(B981="","",IFERROR(INDEX(Lists!$A$4:$A$15,MATCH(B981,Lists!$B$4:$B$15,0)),0))</f>
        <v/>
      </c>
      <c r="D981" s="25" t="n"/>
      <c r="E981" s="24" t="n"/>
      <c r="F981" s="27">
        <f>IF(E981="","",IFERROR(INDEX(Lists!$H$4:$H$40,MATCH(E981,Lists!$F$4:$F$40,0)),"UNMAPPED"))</f>
        <v/>
      </c>
      <c r="G981" s="25" t="n"/>
      <c r="H981" s="25" t="n"/>
      <c r="I981" s="25" t="n"/>
      <c r="J981" s="25" t="n"/>
      <c r="K981" s="25" t="n"/>
      <c r="L981" s="29" t="n"/>
      <c r="M981" s="25" t="n"/>
      <c r="N981" s="30" t="n"/>
      <c r="O981" s="31">
        <f>IF(N981="","",IF(G981="Revenue",ROUND(N981*VATRate,2),0))</f>
        <v/>
      </c>
      <c r="P981" s="31">
        <f>IF(N981="","",N981+O981)</f>
        <v/>
      </c>
    </row>
    <row r="982">
      <c r="A982" s="26" t="n"/>
      <c r="B982" s="27">
        <f>IF(A982="","",IF(OR(A982&lt;MIN(Lists!$C$4:$C$15),A982&gt;MAX(Lists!$D$4:$D$15)),"No period",INDEX(Lists!$B$4:$B$15,MATCH(A982,Lists!$C$4:$C$15,1))))</f>
        <v/>
      </c>
      <c r="C982" s="28">
        <f>IF(B982="","",IFERROR(INDEX(Lists!$A$4:$A$15,MATCH(B982,Lists!$B$4:$B$15,0)),0))</f>
        <v/>
      </c>
      <c r="D982" s="25" t="n"/>
      <c r="E982" s="24" t="n"/>
      <c r="F982" s="27">
        <f>IF(E982="","",IFERROR(INDEX(Lists!$H$4:$H$40,MATCH(E982,Lists!$F$4:$F$40,0)),"UNMAPPED"))</f>
        <v/>
      </c>
      <c r="G982" s="25" t="n"/>
      <c r="H982" s="25" t="n"/>
      <c r="I982" s="25" t="n"/>
      <c r="J982" s="25" t="n"/>
      <c r="K982" s="25" t="n"/>
      <c r="L982" s="29" t="n"/>
      <c r="M982" s="25" t="n"/>
      <c r="N982" s="30" t="n"/>
      <c r="O982" s="31">
        <f>IF(N982="","",IF(G982="Revenue",ROUND(N982*VATRate,2),0))</f>
        <v/>
      </c>
      <c r="P982" s="31">
        <f>IF(N982="","",N982+O982)</f>
        <v/>
      </c>
    </row>
    <row r="983">
      <c r="A983" s="26" t="n"/>
      <c r="B983" s="27">
        <f>IF(A983="","",IF(OR(A983&lt;MIN(Lists!$C$4:$C$15),A983&gt;MAX(Lists!$D$4:$D$15)),"No period",INDEX(Lists!$B$4:$B$15,MATCH(A983,Lists!$C$4:$C$15,1))))</f>
        <v/>
      </c>
      <c r="C983" s="28">
        <f>IF(B983="","",IFERROR(INDEX(Lists!$A$4:$A$15,MATCH(B983,Lists!$B$4:$B$15,0)),0))</f>
        <v/>
      </c>
      <c r="D983" s="25" t="n"/>
      <c r="E983" s="24" t="n"/>
      <c r="F983" s="27">
        <f>IF(E983="","",IFERROR(INDEX(Lists!$H$4:$H$40,MATCH(E983,Lists!$F$4:$F$40,0)),"UNMAPPED"))</f>
        <v/>
      </c>
      <c r="G983" s="25" t="n"/>
      <c r="H983" s="25" t="n"/>
      <c r="I983" s="25" t="n"/>
      <c r="J983" s="25" t="n"/>
      <c r="K983" s="25" t="n"/>
      <c r="L983" s="29" t="n"/>
      <c r="M983" s="25" t="n"/>
      <c r="N983" s="30" t="n"/>
      <c r="O983" s="31">
        <f>IF(N983="","",IF(G983="Revenue",ROUND(N983*VATRate,2),0))</f>
        <v/>
      </c>
      <c r="P983" s="31">
        <f>IF(N983="","",N983+O983)</f>
        <v/>
      </c>
    </row>
    <row r="984">
      <c r="A984" s="26" t="n"/>
      <c r="B984" s="27">
        <f>IF(A984="","",IF(OR(A984&lt;MIN(Lists!$C$4:$C$15),A984&gt;MAX(Lists!$D$4:$D$15)),"No period",INDEX(Lists!$B$4:$B$15,MATCH(A984,Lists!$C$4:$C$15,1))))</f>
        <v/>
      </c>
      <c r="C984" s="28">
        <f>IF(B984="","",IFERROR(INDEX(Lists!$A$4:$A$15,MATCH(B984,Lists!$B$4:$B$15,0)),0))</f>
        <v/>
      </c>
      <c r="D984" s="25" t="n"/>
      <c r="E984" s="24" t="n"/>
      <c r="F984" s="27">
        <f>IF(E984="","",IFERROR(INDEX(Lists!$H$4:$H$40,MATCH(E984,Lists!$F$4:$F$40,0)),"UNMAPPED"))</f>
        <v/>
      </c>
      <c r="G984" s="25" t="n"/>
      <c r="H984" s="25" t="n"/>
      <c r="I984" s="25" t="n"/>
      <c r="J984" s="25" t="n"/>
      <c r="K984" s="25" t="n"/>
      <c r="L984" s="29" t="n"/>
      <c r="M984" s="25" t="n"/>
      <c r="N984" s="30" t="n"/>
      <c r="O984" s="31">
        <f>IF(N984="","",IF(G984="Revenue",ROUND(N984*VATRate,2),0))</f>
        <v/>
      </c>
      <c r="P984" s="31">
        <f>IF(N984="","",N984+O984)</f>
        <v/>
      </c>
    </row>
    <row r="985">
      <c r="A985" s="26" t="n"/>
      <c r="B985" s="27">
        <f>IF(A985="","",IF(OR(A985&lt;MIN(Lists!$C$4:$C$15),A985&gt;MAX(Lists!$D$4:$D$15)),"No period",INDEX(Lists!$B$4:$B$15,MATCH(A985,Lists!$C$4:$C$15,1))))</f>
        <v/>
      </c>
      <c r="C985" s="28">
        <f>IF(B985="","",IFERROR(INDEX(Lists!$A$4:$A$15,MATCH(B985,Lists!$B$4:$B$15,0)),0))</f>
        <v/>
      </c>
      <c r="D985" s="25" t="n"/>
      <c r="E985" s="24" t="n"/>
      <c r="F985" s="27">
        <f>IF(E985="","",IFERROR(INDEX(Lists!$H$4:$H$40,MATCH(E985,Lists!$F$4:$F$40,0)),"UNMAPPED"))</f>
        <v/>
      </c>
      <c r="G985" s="25" t="n"/>
      <c r="H985" s="25" t="n"/>
      <c r="I985" s="25" t="n"/>
      <c r="J985" s="25" t="n"/>
      <c r="K985" s="25" t="n"/>
      <c r="L985" s="29" t="n"/>
      <c r="M985" s="25" t="n"/>
      <c r="N985" s="30" t="n"/>
      <c r="O985" s="31">
        <f>IF(N985="","",IF(G985="Revenue",ROUND(N985*VATRate,2),0))</f>
        <v/>
      </c>
      <c r="P985" s="31">
        <f>IF(N985="","",N985+O985)</f>
        <v/>
      </c>
    </row>
    <row r="986">
      <c r="A986" s="26" t="n"/>
      <c r="B986" s="27">
        <f>IF(A986="","",IF(OR(A986&lt;MIN(Lists!$C$4:$C$15),A986&gt;MAX(Lists!$D$4:$D$15)),"No period",INDEX(Lists!$B$4:$B$15,MATCH(A986,Lists!$C$4:$C$15,1))))</f>
        <v/>
      </c>
      <c r="C986" s="28">
        <f>IF(B986="","",IFERROR(INDEX(Lists!$A$4:$A$15,MATCH(B986,Lists!$B$4:$B$15,0)),0))</f>
        <v/>
      </c>
      <c r="D986" s="25" t="n"/>
      <c r="E986" s="24" t="n"/>
      <c r="F986" s="27">
        <f>IF(E986="","",IFERROR(INDEX(Lists!$H$4:$H$40,MATCH(E986,Lists!$F$4:$F$40,0)),"UNMAPPED"))</f>
        <v/>
      </c>
      <c r="G986" s="25" t="n"/>
      <c r="H986" s="25" t="n"/>
      <c r="I986" s="25" t="n"/>
      <c r="J986" s="25" t="n"/>
      <c r="K986" s="25" t="n"/>
      <c r="L986" s="29" t="n"/>
      <c r="M986" s="25" t="n"/>
      <c r="N986" s="30" t="n"/>
      <c r="O986" s="31">
        <f>IF(N986="","",IF(G986="Revenue",ROUND(N986*VATRate,2),0))</f>
        <v/>
      </c>
      <c r="P986" s="31">
        <f>IF(N986="","",N986+O986)</f>
        <v/>
      </c>
    </row>
    <row r="987">
      <c r="A987" s="26" t="n"/>
      <c r="B987" s="27">
        <f>IF(A987="","",IF(OR(A987&lt;MIN(Lists!$C$4:$C$15),A987&gt;MAX(Lists!$D$4:$D$15)),"No period",INDEX(Lists!$B$4:$B$15,MATCH(A987,Lists!$C$4:$C$15,1))))</f>
        <v/>
      </c>
      <c r="C987" s="28">
        <f>IF(B987="","",IFERROR(INDEX(Lists!$A$4:$A$15,MATCH(B987,Lists!$B$4:$B$15,0)),0))</f>
        <v/>
      </c>
      <c r="D987" s="25" t="n"/>
      <c r="E987" s="24" t="n"/>
      <c r="F987" s="27">
        <f>IF(E987="","",IFERROR(INDEX(Lists!$H$4:$H$40,MATCH(E987,Lists!$F$4:$F$40,0)),"UNMAPPED"))</f>
        <v/>
      </c>
      <c r="G987" s="25" t="n"/>
      <c r="H987" s="25" t="n"/>
      <c r="I987" s="25" t="n"/>
      <c r="J987" s="25" t="n"/>
      <c r="K987" s="25" t="n"/>
      <c r="L987" s="29" t="n"/>
      <c r="M987" s="25" t="n"/>
      <c r="N987" s="30" t="n"/>
      <c r="O987" s="31">
        <f>IF(N987="","",IF(G987="Revenue",ROUND(N987*VATRate,2),0))</f>
        <v/>
      </c>
      <c r="P987" s="31">
        <f>IF(N987="","",N987+O987)</f>
        <v/>
      </c>
    </row>
    <row r="988">
      <c r="A988" s="26" t="n"/>
      <c r="B988" s="27">
        <f>IF(A988="","",IF(OR(A988&lt;MIN(Lists!$C$4:$C$15),A988&gt;MAX(Lists!$D$4:$D$15)),"No period",INDEX(Lists!$B$4:$B$15,MATCH(A988,Lists!$C$4:$C$15,1))))</f>
        <v/>
      </c>
      <c r="C988" s="28">
        <f>IF(B988="","",IFERROR(INDEX(Lists!$A$4:$A$15,MATCH(B988,Lists!$B$4:$B$15,0)),0))</f>
        <v/>
      </c>
      <c r="D988" s="25" t="n"/>
      <c r="E988" s="24" t="n"/>
      <c r="F988" s="27">
        <f>IF(E988="","",IFERROR(INDEX(Lists!$H$4:$H$40,MATCH(E988,Lists!$F$4:$F$40,0)),"UNMAPPED"))</f>
        <v/>
      </c>
      <c r="G988" s="25" t="n"/>
      <c r="H988" s="25" t="n"/>
      <c r="I988" s="25" t="n"/>
      <c r="J988" s="25" t="n"/>
      <c r="K988" s="25" t="n"/>
      <c r="L988" s="29" t="n"/>
      <c r="M988" s="25" t="n"/>
      <c r="N988" s="30" t="n"/>
      <c r="O988" s="31">
        <f>IF(N988="","",IF(G988="Revenue",ROUND(N988*VATRate,2),0))</f>
        <v/>
      </c>
      <c r="P988" s="31">
        <f>IF(N988="","",N988+O988)</f>
        <v/>
      </c>
    </row>
    <row r="989">
      <c r="A989" s="26" t="n"/>
      <c r="B989" s="27">
        <f>IF(A989="","",IF(OR(A989&lt;MIN(Lists!$C$4:$C$15),A989&gt;MAX(Lists!$D$4:$D$15)),"No period",INDEX(Lists!$B$4:$B$15,MATCH(A989,Lists!$C$4:$C$15,1))))</f>
        <v/>
      </c>
      <c r="C989" s="28">
        <f>IF(B989="","",IFERROR(INDEX(Lists!$A$4:$A$15,MATCH(B989,Lists!$B$4:$B$15,0)),0))</f>
        <v/>
      </c>
      <c r="D989" s="25" t="n"/>
      <c r="E989" s="24" t="n"/>
      <c r="F989" s="27">
        <f>IF(E989="","",IFERROR(INDEX(Lists!$H$4:$H$40,MATCH(E989,Lists!$F$4:$F$40,0)),"UNMAPPED"))</f>
        <v/>
      </c>
      <c r="G989" s="25" t="n"/>
      <c r="H989" s="25" t="n"/>
      <c r="I989" s="25" t="n"/>
      <c r="J989" s="25" t="n"/>
      <c r="K989" s="25" t="n"/>
      <c r="L989" s="29" t="n"/>
      <c r="M989" s="25" t="n"/>
      <c r="N989" s="30" t="n"/>
      <c r="O989" s="31">
        <f>IF(N989="","",IF(G989="Revenue",ROUND(N989*VATRate,2),0))</f>
        <v/>
      </c>
      <c r="P989" s="31">
        <f>IF(N989="","",N989+O989)</f>
        <v/>
      </c>
    </row>
    <row r="990">
      <c r="A990" s="26" t="n"/>
      <c r="B990" s="27">
        <f>IF(A990="","",IF(OR(A990&lt;MIN(Lists!$C$4:$C$15),A990&gt;MAX(Lists!$D$4:$D$15)),"No period",INDEX(Lists!$B$4:$B$15,MATCH(A990,Lists!$C$4:$C$15,1))))</f>
        <v/>
      </c>
      <c r="C990" s="28">
        <f>IF(B990="","",IFERROR(INDEX(Lists!$A$4:$A$15,MATCH(B990,Lists!$B$4:$B$15,0)),0))</f>
        <v/>
      </c>
      <c r="D990" s="25" t="n"/>
      <c r="E990" s="24" t="n"/>
      <c r="F990" s="27">
        <f>IF(E990="","",IFERROR(INDEX(Lists!$H$4:$H$40,MATCH(E990,Lists!$F$4:$F$40,0)),"UNMAPPED"))</f>
        <v/>
      </c>
      <c r="G990" s="25" t="n"/>
      <c r="H990" s="25" t="n"/>
      <c r="I990" s="25" t="n"/>
      <c r="J990" s="25" t="n"/>
      <c r="K990" s="25" t="n"/>
      <c r="L990" s="29" t="n"/>
      <c r="M990" s="25" t="n"/>
      <c r="N990" s="30" t="n"/>
      <c r="O990" s="31">
        <f>IF(N990="","",IF(G990="Revenue",ROUND(N990*VATRate,2),0))</f>
        <v/>
      </c>
      <c r="P990" s="31">
        <f>IF(N990="","",N990+O990)</f>
        <v/>
      </c>
    </row>
    <row r="991">
      <c r="A991" s="26" t="n"/>
      <c r="B991" s="27">
        <f>IF(A991="","",IF(OR(A991&lt;MIN(Lists!$C$4:$C$15),A991&gt;MAX(Lists!$D$4:$D$15)),"No period",INDEX(Lists!$B$4:$B$15,MATCH(A991,Lists!$C$4:$C$15,1))))</f>
        <v/>
      </c>
      <c r="C991" s="28">
        <f>IF(B991="","",IFERROR(INDEX(Lists!$A$4:$A$15,MATCH(B991,Lists!$B$4:$B$15,0)),0))</f>
        <v/>
      </c>
      <c r="D991" s="25" t="n"/>
      <c r="E991" s="24" t="n"/>
      <c r="F991" s="27">
        <f>IF(E991="","",IFERROR(INDEX(Lists!$H$4:$H$40,MATCH(E991,Lists!$F$4:$F$40,0)),"UNMAPPED"))</f>
        <v/>
      </c>
      <c r="G991" s="25" t="n"/>
      <c r="H991" s="25" t="n"/>
      <c r="I991" s="25" t="n"/>
      <c r="J991" s="25" t="n"/>
      <c r="K991" s="25" t="n"/>
      <c r="L991" s="29" t="n"/>
      <c r="M991" s="25" t="n"/>
      <c r="N991" s="30" t="n"/>
      <c r="O991" s="31">
        <f>IF(N991="","",IF(G991="Revenue",ROUND(N991*VATRate,2),0))</f>
        <v/>
      </c>
      <c r="P991" s="31">
        <f>IF(N991="","",N991+O991)</f>
        <v/>
      </c>
    </row>
    <row r="992">
      <c r="A992" s="26" t="n"/>
      <c r="B992" s="27">
        <f>IF(A992="","",IF(OR(A992&lt;MIN(Lists!$C$4:$C$15),A992&gt;MAX(Lists!$D$4:$D$15)),"No period",INDEX(Lists!$B$4:$B$15,MATCH(A992,Lists!$C$4:$C$15,1))))</f>
        <v/>
      </c>
      <c r="C992" s="28">
        <f>IF(B992="","",IFERROR(INDEX(Lists!$A$4:$A$15,MATCH(B992,Lists!$B$4:$B$15,0)),0))</f>
        <v/>
      </c>
      <c r="D992" s="25" t="n"/>
      <c r="E992" s="24" t="n"/>
      <c r="F992" s="27">
        <f>IF(E992="","",IFERROR(INDEX(Lists!$H$4:$H$40,MATCH(E992,Lists!$F$4:$F$40,0)),"UNMAPPED"))</f>
        <v/>
      </c>
      <c r="G992" s="25" t="n"/>
      <c r="H992" s="25" t="n"/>
      <c r="I992" s="25" t="n"/>
      <c r="J992" s="25" t="n"/>
      <c r="K992" s="25" t="n"/>
      <c r="L992" s="29" t="n"/>
      <c r="M992" s="25" t="n"/>
      <c r="N992" s="30" t="n"/>
      <c r="O992" s="31">
        <f>IF(N992="","",IF(G992="Revenue",ROUND(N992*VATRate,2),0))</f>
        <v/>
      </c>
      <c r="P992" s="31">
        <f>IF(N992="","",N992+O992)</f>
        <v/>
      </c>
    </row>
    <row r="993">
      <c r="A993" s="26" t="n"/>
      <c r="B993" s="27">
        <f>IF(A993="","",IF(OR(A993&lt;MIN(Lists!$C$4:$C$15),A993&gt;MAX(Lists!$D$4:$D$15)),"No period",INDEX(Lists!$B$4:$B$15,MATCH(A993,Lists!$C$4:$C$15,1))))</f>
        <v/>
      </c>
      <c r="C993" s="28">
        <f>IF(B993="","",IFERROR(INDEX(Lists!$A$4:$A$15,MATCH(B993,Lists!$B$4:$B$15,0)),0))</f>
        <v/>
      </c>
      <c r="D993" s="25" t="n"/>
      <c r="E993" s="24" t="n"/>
      <c r="F993" s="27">
        <f>IF(E993="","",IFERROR(INDEX(Lists!$H$4:$H$40,MATCH(E993,Lists!$F$4:$F$40,0)),"UNMAPPED"))</f>
        <v/>
      </c>
      <c r="G993" s="25" t="n"/>
      <c r="H993" s="25" t="n"/>
      <c r="I993" s="25" t="n"/>
      <c r="J993" s="25" t="n"/>
      <c r="K993" s="25" t="n"/>
      <c r="L993" s="29" t="n"/>
      <c r="M993" s="25" t="n"/>
      <c r="N993" s="30" t="n"/>
      <c r="O993" s="31">
        <f>IF(N993="","",IF(G993="Revenue",ROUND(N993*VATRate,2),0))</f>
        <v/>
      </c>
      <c r="P993" s="31">
        <f>IF(N993="","",N993+O993)</f>
        <v/>
      </c>
    </row>
    <row r="994">
      <c r="A994" s="26" t="n"/>
      <c r="B994" s="27">
        <f>IF(A994="","",IF(OR(A994&lt;MIN(Lists!$C$4:$C$15),A994&gt;MAX(Lists!$D$4:$D$15)),"No period",INDEX(Lists!$B$4:$B$15,MATCH(A994,Lists!$C$4:$C$15,1))))</f>
        <v/>
      </c>
      <c r="C994" s="28">
        <f>IF(B994="","",IFERROR(INDEX(Lists!$A$4:$A$15,MATCH(B994,Lists!$B$4:$B$15,0)),0))</f>
        <v/>
      </c>
      <c r="D994" s="25" t="n"/>
      <c r="E994" s="24" t="n"/>
      <c r="F994" s="27">
        <f>IF(E994="","",IFERROR(INDEX(Lists!$H$4:$H$40,MATCH(E994,Lists!$F$4:$F$40,0)),"UNMAPPED"))</f>
        <v/>
      </c>
      <c r="G994" s="25" t="n"/>
      <c r="H994" s="25" t="n"/>
      <c r="I994" s="25" t="n"/>
      <c r="J994" s="25" t="n"/>
      <c r="K994" s="25" t="n"/>
      <c r="L994" s="29" t="n"/>
      <c r="M994" s="25" t="n"/>
      <c r="N994" s="30" t="n"/>
      <c r="O994" s="31">
        <f>IF(N994="","",IF(G994="Revenue",ROUND(N994*VATRate,2),0))</f>
        <v/>
      </c>
      <c r="P994" s="31">
        <f>IF(N994="","",N994+O994)</f>
        <v/>
      </c>
    </row>
    <row r="995">
      <c r="A995" s="26" t="n"/>
      <c r="B995" s="27">
        <f>IF(A995="","",IF(OR(A995&lt;MIN(Lists!$C$4:$C$15),A995&gt;MAX(Lists!$D$4:$D$15)),"No period",INDEX(Lists!$B$4:$B$15,MATCH(A995,Lists!$C$4:$C$15,1))))</f>
        <v/>
      </c>
      <c r="C995" s="28">
        <f>IF(B995="","",IFERROR(INDEX(Lists!$A$4:$A$15,MATCH(B995,Lists!$B$4:$B$15,0)),0))</f>
        <v/>
      </c>
      <c r="D995" s="25" t="n"/>
      <c r="E995" s="24" t="n"/>
      <c r="F995" s="27">
        <f>IF(E995="","",IFERROR(INDEX(Lists!$H$4:$H$40,MATCH(E995,Lists!$F$4:$F$40,0)),"UNMAPPED"))</f>
        <v/>
      </c>
      <c r="G995" s="25" t="n"/>
      <c r="H995" s="25" t="n"/>
      <c r="I995" s="25" t="n"/>
      <c r="J995" s="25" t="n"/>
      <c r="K995" s="25" t="n"/>
      <c r="L995" s="29" t="n"/>
      <c r="M995" s="25" t="n"/>
      <c r="N995" s="30" t="n"/>
      <c r="O995" s="31">
        <f>IF(N995="","",IF(G995="Revenue",ROUND(N995*VATRate,2),0))</f>
        <v/>
      </c>
      <c r="P995" s="31">
        <f>IF(N995="","",N995+O995)</f>
        <v/>
      </c>
    </row>
    <row r="996">
      <c r="A996" s="26" t="n"/>
      <c r="B996" s="27">
        <f>IF(A996="","",IF(OR(A996&lt;MIN(Lists!$C$4:$C$15),A996&gt;MAX(Lists!$D$4:$D$15)),"No period",INDEX(Lists!$B$4:$B$15,MATCH(A996,Lists!$C$4:$C$15,1))))</f>
        <v/>
      </c>
      <c r="C996" s="28">
        <f>IF(B996="","",IFERROR(INDEX(Lists!$A$4:$A$15,MATCH(B996,Lists!$B$4:$B$15,0)),0))</f>
        <v/>
      </c>
      <c r="D996" s="25" t="n"/>
      <c r="E996" s="24" t="n"/>
      <c r="F996" s="27">
        <f>IF(E996="","",IFERROR(INDEX(Lists!$H$4:$H$40,MATCH(E996,Lists!$F$4:$F$40,0)),"UNMAPPED"))</f>
        <v/>
      </c>
      <c r="G996" s="25" t="n"/>
      <c r="H996" s="25" t="n"/>
      <c r="I996" s="25" t="n"/>
      <c r="J996" s="25" t="n"/>
      <c r="K996" s="25" t="n"/>
      <c r="L996" s="29" t="n"/>
      <c r="M996" s="25" t="n"/>
      <c r="N996" s="30" t="n"/>
      <c r="O996" s="31">
        <f>IF(N996="","",IF(G996="Revenue",ROUND(N996*VATRate,2),0))</f>
        <v/>
      </c>
      <c r="P996" s="31">
        <f>IF(N996="","",N996+O996)</f>
        <v/>
      </c>
    </row>
    <row r="997">
      <c r="A997" s="26" t="n"/>
      <c r="B997" s="27">
        <f>IF(A997="","",IF(OR(A997&lt;MIN(Lists!$C$4:$C$15),A997&gt;MAX(Lists!$D$4:$D$15)),"No period",INDEX(Lists!$B$4:$B$15,MATCH(A997,Lists!$C$4:$C$15,1))))</f>
        <v/>
      </c>
      <c r="C997" s="28">
        <f>IF(B997="","",IFERROR(INDEX(Lists!$A$4:$A$15,MATCH(B997,Lists!$B$4:$B$15,0)),0))</f>
        <v/>
      </c>
      <c r="D997" s="25" t="n"/>
      <c r="E997" s="24" t="n"/>
      <c r="F997" s="27">
        <f>IF(E997="","",IFERROR(INDEX(Lists!$H$4:$H$40,MATCH(E997,Lists!$F$4:$F$40,0)),"UNMAPPED"))</f>
        <v/>
      </c>
      <c r="G997" s="25" t="n"/>
      <c r="H997" s="25" t="n"/>
      <c r="I997" s="25" t="n"/>
      <c r="J997" s="25" t="n"/>
      <c r="K997" s="25" t="n"/>
      <c r="L997" s="29" t="n"/>
      <c r="M997" s="25" t="n"/>
      <c r="N997" s="30" t="n"/>
      <c r="O997" s="31">
        <f>IF(N997="","",IF(G997="Revenue",ROUND(N997*VATRate,2),0))</f>
        <v/>
      </c>
      <c r="P997" s="31">
        <f>IF(N997="","",N997+O997)</f>
        <v/>
      </c>
    </row>
    <row r="998">
      <c r="A998" s="26" t="n"/>
      <c r="B998" s="27">
        <f>IF(A998="","",IF(OR(A998&lt;MIN(Lists!$C$4:$C$15),A998&gt;MAX(Lists!$D$4:$D$15)),"No period",INDEX(Lists!$B$4:$B$15,MATCH(A998,Lists!$C$4:$C$15,1))))</f>
        <v/>
      </c>
      <c r="C998" s="28">
        <f>IF(B998="","",IFERROR(INDEX(Lists!$A$4:$A$15,MATCH(B998,Lists!$B$4:$B$15,0)),0))</f>
        <v/>
      </c>
      <c r="D998" s="25" t="n"/>
      <c r="E998" s="24" t="n"/>
      <c r="F998" s="27">
        <f>IF(E998="","",IFERROR(INDEX(Lists!$H$4:$H$40,MATCH(E998,Lists!$F$4:$F$40,0)),"UNMAPPED"))</f>
        <v/>
      </c>
      <c r="G998" s="25" t="n"/>
      <c r="H998" s="25" t="n"/>
      <c r="I998" s="25" t="n"/>
      <c r="J998" s="25" t="n"/>
      <c r="K998" s="25" t="n"/>
      <c r="L998" s="29" t="n"/>
      <c r="M998" s="25" t="n"/>
      <c r="N998" s="30" t="n"/>
      <c r="O998" s="31">
        <f>IF(N998="","",IF(G998="Revenue",ROUND(N998*VATRate,2),0))</f>
        <v/>
      </c>
      <c r="P998" s="31">
        <f>IF(N998="","",N998+O998)</f>
        <v/>
      </c>
    </row>
    <row r="999">
      <c r="A999" s="26" t="n"/>
      <c r="B999" s="27">
        <f>IF(A999="","",IF(OR(A999&lt;MIN(Lists!$C$4:$C$15),A999&gt;MAX(Lists!$D$4:$D$15)),"No period",INDEX(Lists!$B$4:$B$15,MATCH(A999,Lists!$C$4:$C$15,1))))</f>
        <v/>
      </c>
      <c r="C999" s="28">
        <f>IF(B999="","",IFERROR(INDEX(Lists!$A$4:$A$15,MATCH(B999,Lists!$B$4:$B$15,0)),0))</f>
        <v/>
      </c>
      <c r="D999" s="25" t="n"/>
      <c r="E999" s="24" t="n"/>
      <c r="F999" s="27">
        <f>IF(E999="","",IFERROR(INDEX(Lists!$H$4:$H$40,MATCH(E999,Lists!$F$4:$F$40,0)),"UNMAPPED"))</f>
        <v/>
      </c>
      <c r="G999" s="25" t="n"/>
      <c r="H999" s="25" t="n"/>
      <c r="I999" s="25" t="n"/>
      <c r="J999" s="25" t="n"/>
      <c r="K999" s="25" t="n"/>
      <c r="L999" s="29" t="n"/>
      <c r="M999" s="25" t="n"/>
      <c r="N999" s="30" t="n"/>
      <c r="O999" s="31">
        <f>IF(N999="","",IF(G999="Revenue",ROUND(N999*VATRate,2),0))</f>
        <v/>
      </c>
      <c r="P999" s="31">
        <f>IF(N999="","",N999+O999)</f>
        <v/>
      </c>
    </row>
    <row r="1000">
      <c r="A1000" s="26" t="n"/>
      <c r="B1000" s="27">
        <f>IF(A1000="","",IF(OR(A1000&lt;MIN(Lists!$C$4:$C$15),A1000&gt;MAX(Lists!$D$4:$D$15)),"No period",INDEX(Lists!$B$4:$B$15,MATCH(A1000,Lists!$C$4:$C$15,1))))</f>
        <v/>
      </c>
      <c r="C1000" s="28">
        <f>IF(B1000="","",IFERROR(INDEX(Lists!$A$4:$A$15,MATCH(B1000,Lists!$B$4:$B$15,0)),0))</f>
        <v/>
      </c>
      <c r="D1000" s="25" t="n"/>
      <c r="E1000" s="24" t="n"/>
      <c r="F1000" s="27">
        <f>IF(E1000="","",IFERROR(INDEX(Lists!$H$4:$H$40,MATCH(E1000,Lists!$F$4:$F$40,0)),"UNMAPPED"))</f>
        <v/>
      </c>
      <c r="G1000" s="25" t="n"/>
      <c r="H1000" s="25" t="n"/>
      <c r="I1000" s="25" t="n"/>
      <c r="J1000" s="25" t="n"/>
      <c r="K1000" s="25" t="n"/>
      <c r="L1000" s="29" t="n"/>
      <c r="M1000" s="25" t="n"/>
      <c r="N1000" s="30" t="n"/>
      <c r="O1000" s="31">
        <f>IF(N1000="","",IF(G1000="Revenue",ROUND(N1000*VATRate,2),0))</f>
        <v/>
      </c>
      <c r="P1000" s="31">
        <f>IF(N1000="","",N1000+O1000)</f>
        <v/>
      </c>
    </row>
    <row r="1001">
      <c r="A1001" s="26" t="n"/>
      <c r="B1001" s="27">
        <f>IF(A1001="","",IF(OR(A1001&lt;MIN(Lists!$C$4:$C$15),A1001&gt;MAX(Lists!$D$4:$D$15)),"No period",INDEX(Lists!$B$4:$B$15,MATCH(A1001,Lists!$C$4:$C$15,1))))</f>
        <v/>
      </c>
      <c r="C1001" s="28">
        <f>IF(B1001="","",IFERROR(INDEX(Lists!$A$4:$A$15,MATCH(B1001,Lists!$B$4:$B$15,0)),0))</f>
        <v/>
      </c>
      <c r="D1001" s="25" t="n"/>
      <c r="E1001" s="24" t="n"/>
      <c r="F1001" s="27">
        <f>IF(E1001="","",IFERROR(INDEX(Lists!$H$4:$H$40,MATCH(E1001,Lists!$F$4:$F$40,0)),"UNMAPPED"))</f>
        <v/>
      </c>
      <c r="G1001" s="25" t="n"/>
      <c r="H1001" s="25" t="n"/>
      <c r="I1001" s="25" t="n"/>
      <c r="J1001" s="25" t="n"/>
      <c r="K1001" s="25" t="n"/>
      <c r="L1001" s="29" t="n"/>
      <c r="M1001" s="25" t="n"/>
      <c r="N1001" s="30" t="n"/>
      <c r="O1001" s="31">
        <f>IF(N1001="","",IF(G1001="Revenue",ROUND(N1001*VATRate,2),0))</f>
        <v/>
      </c>
      <c r="P1001" s="31">
        <f>IF(N1001="","",N1001+O1001)</f>
        <v/>
      </c>
    </row>
    <row r="1002">
      <c r="A1002" s="26" t="n"/>
      <c r="B1002" s="27">
        <f>IF(A1002="","",IF(OR(A1002&lt;MIN(Lists!$C$4:$C$15),A1002&gt;MAX(Lists!$D$4:$D$15)),"No period",INDEX(Lists!$B$4:$B$15,MATCH(A1002,Lists!$C$4:$C$15,1))))</f>
        <v/>
      </c>
      <c r="C1002" s="28">
        <f>IF(B1002="","",IFERROR(INDEX(Lists!$A$4:$A$15,MATCH(B1002,Lists!$B$4:$B$15,0)),0))</f>
        <v/>
      </c>
      <c r="D1002" s="25" t="n"/>
      <c r="E1002" s="24" t="n"/>
      <c r="F1002" s="27">
        <f>IF(E1002="","",IFERROR(INDEX(Lists!$H$4:$H$40,MATCH(E1002,Lists!$F$4:$F$40,0)),"UNMAPPED"))</f>
        <v/>
      </c>
      <c r="G1002" s="25" t="n"/>
      <c r="H1002" s="25" t="n"/>
      <c r="I1002" s="25" t="n"/>
      <c r="J1002" s="25" t="n"/>
      <c r="K1002" s="25" t="n"/>
      <c r="L1002" s="29" t="n"/>
      <c r="M1002" s="25" t="n"/>
      <c r="N1002" s="30" t="n"/>
      <c r="O1002" s="31">
        <f>IF(N1002="","",IF(G1002="Revenue",ROUND(N1002*VATRate,2),0))</f>
        <v/>
      </c>
      <c r="P1002" s="31">
        <f>IF(N1002="","",N1002+O1002)</f>
        <v/>
      </c>
    </row>
    <row r="1003">
      <c r="A1003" s="26" t="n"/>
      <c r="B1003" s="27">
        <f>IF(A1003="","",IF(OR(A1003&lt;MIN(Lists!$C$4:$C$15),A1003&gt;MAX(Lists!$D$4:$D$15)),"No period",INDEX(Lists!$B$4:$B$15,MATCH(A1003,Lists!$C$4:$C$15,1))))</f>
        <v/>
      </c>
      <c r="C1003" s="28">
        <f>IF(B1003="","",IFERROR(INDEX(Lists!$A$4:$A$15,MATCH(B1003,Lists!$B$4:$B$15,0)),0))</f>
        <v/>
      </c>
      <c r="D1003" s="25" t="n"/>
      <c r="E1003" s="24" t="n"/>
      <c r="F1003" s="27">
        <f>IF(E1003="","",IFERROR(INDEX(Lists!$H$4:$H$40,MATCH(E1003,Lists!$F$4:$F$40,0)),"UNMAPPED"))</f>
        <v/>
      </c>
      <c r="G1003" s="25" t="n"/>
      <c r="H1003" s="25" t="n"/>
      <c r="I1003" s="25" t="n"/>
      <c r="J1003" s="25" t="n"/>
      <c r="K1003" s="25" t="n"/>
      <c r="L1003" s="29" t="n"/>
      <c r="M1003" s="25" t="n"/>
      <c r="N1003" s="30" t="n"/>
      <c r="O1003" s="31">
        <f>IF(N1003="","",IF(G1003="Revenue",ROUND(N1003*VATRate,2),0))</f>
        <v/>
      </c>
      <c r="P1003" s="31">
        <f>IF(N1003="","",N1003+O1003)</f>
        <v/>
      </c>
    </row>
    <row r="1004">
      <c r="A1004" s="26" t="n"/>
      <c r="B1004" s="27">
        <f>IF(A1004="","",IF(OR(A1004&lt;MIN(Lists!$C$4:$C$15),A1004&gt;MAX(Lists!$D$4:$D$15)),"No period",INDEX(Lists!$B$4:$B$15,MATCH(A1004,Lists!$C$4:$C$15,1))))</f>
        <v/>
      </c>
      <c r="C1004" s="28">
        <f>IF(B1004="","",IFERROR(INDEX(Lists!$A$4:$A$15,MATCH(B1004,Lists!$B$4:$B$15,0)),0))</f>
        <v/>
      </c>
      <c r="D1004" s="25" t="n"/>
      <c r="E1004" s="24" t="n"/>
      <c r="F1004" s="27">
        <f>IF(E1004="","",IFERROR(INDEX(Lists!$H$4:$H$40,MATCH(E1004,Lists!$F$4:$F$40,0)),"UNMAPPED"))</f>
        <v/>
      </c>
      <c r="G1004" s="25" t="n"/>
      <c r="H1004" s="25" t="n"/>
      <c r="I1004" s="25" t="n"/>
      <c r="J1004" s="25" t="n"/>
      <c r="K1004" s="25" t="n"/>
      <c r="L1004" s="29" t="n"/>
      <c r="M1004" s="25" t="n"/>
      <c r="N1004" s="30" t="n"/>
      <c r="O1004" s="31">
        <f>IF(N1004="","",IF(G1004="Revenue",ROUND(N1004*VATRate,2),0))</f>
        <v/>
      </c>
      <c r="P1004" s="31">
        <f>IF(N1004="","",N1004+O1004)</f>
        <v/>
      </c>
    </row>
  </sheetData>
  <dataValidations count="5">
    <dataValidation sqref="E5:E1004" showDropDown="0" showInputMessage="0" showErrorMessage="0" allowBlank="1" errorTitle="Invalid entry" error="Choose a value from the list." type="list">
      <formula1>=Lists!$F$4:$F$40</formula1>
    </dataValidation>
    <dataValidation sqref="G5:G1004" showDropDown="0" showInputMessage="0" showErrorMessage="0" allowBlank="1" errorTitle="Invalid entry" error="Choose a value from the list." type="list">
      <formula1>=Lists!$O$4:$O$5</formula1>
    </dataValidation>
    <dataValidation sqref="H5:H1004" showDropDown="0" showInputMessage="0" showErrorMessage="0" allowBlank="1" errorTitle="Invalid entry" error="Choose a value from the list." type="list">
      <formula1>=Lists!$N$4:$N$8</formula1>
    </dataValidation>
    <dataValidation sqref="J5:J1004" showDropDown="0" showInputMessage="0" showErrorMessage="0" allowBlank="1" errorTitle="Invalid entry" error="Choose a value from the list." type="list">
      <formula1>=Lists!$M$4:$M$8</formula1>
    </dataValidation>
    <dataValidation sqref="K5:K1004" showDropDown="0" showInputMessage="0" showErrorMessage="0" allowBlank="1" errorTitle="Invalid entry" error="Choose a value from the list." type="list">
      <formula1>=Lists!$L$4:$L$7</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0F4C3A"/>
    <outlinePr summaryBelow="1" summaryRight="1"/>
    <pageSetUpPr fitToPage="1"/>
  </sheetPr>
  <dimension ref="A1:N3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50" customWidth="1" min="14" max="14"/>
  </cols>
  <sheetData>
    <row r="1" ht="26" customHeight="1">
      <c r="A1" s="1" t="inlineStr">
        <is>
          <t>Budget (table tblBudget)</t>
        </is>
      </c>
      <c r="B1" s="2" t="n"/>
      <c r="C1" s="2" t="n"/>
      <c r="D1" s="2" t="n"/>
      <c r="E1" s="2" t="n"/>
      <c r="F1" s="2" t="n"/>
      <c r="G1" s="2" t="n"/>
      <c r="H1" s="2" t="n"/>
      <c r="I1" s="2" t="n"/>
      <c r="J1" s="2" t="n"/>
      <c r="K1" s="2" t="n"/>
      <c r="L1" s="2" t="n"/>
      <c r="M1" s="2" t="n"/>
      <c r="N1" s="2" t="n"/>
    </row>
    <row r="2">
      <c r="A2" s="23" t="inlineStr">
        <is>
          <t>One row per statement line; one column per period. Fill each month's budget in the yellow cells. Explanations go in the Notes column.</t>
        </is>
      </c>
    </row>
    <row r="3"/>
    <row r="4" ht="30" customHeight="1">
      <c r="A4" s="7" t="inlineStr">
        <is>
          <t>Line</t>
        </is>
      </c>
      <c r="B4" s="7" t="inlineStr">
        <is>
          <t>P01 Hamle</t>
        </is>
      </c>
      <c r="C4" s="7" t="inlineStr">
        <is>
          <t>P02 Nehase</t>
        </is>
      </c>
      <c r="D4" s="7" t="inlineStr">
        <is>
          <t>P03 Meskerem</t>
        </is>
      </c>
      <c r="E4" s="7" t="inlineStr">
        <is>
          <t>P04 Tikimt</t>
        </is>
      </c>
      <c r="F4" s="7" t="inlineStr">
        <is>
          <t>P05 Hidar</t>
        </is>
      </c>
      <c r="G4" s="7" t="inlineStr">
        <is>
          <t>P06 Tahsas</t>
        </is>
      </c>
      <c r="H4" s="7" t="inlineStr">
        <is>
          <t>P07 Tir</t>
        </is>
      </c>
      <c r="I4" s="7" t="inlineStr">
        <is>
          <t>P08 Yekatit</t>
        </is>
      </c>
      <c r="J4" s="7" t="inlineStr">
        <is>
          <t>P09 Megabit</t>
        </is>
      </c>
      <c r="K4" s="7" t="inlineStr">
        <is>
          <t>P10 Miyazia</t>
        </is>
      </c>
      <c r="L4" s="7" t="inlineStr">
        <is>
          <t>P11 Ginbot</t>
        </is>
      </c>
      <c r="M4" s="7" t="inlineStr">
        <is>
          <t>P12 Sene</t>
        </is>
      </c>
      <c r="N4" s="7" t="inlineStr">
        <is>
          <t>Notes</t>
        </is>
      </c>
    </row>
    <row r="5">
      <c r="A5" s="32" t="inlineStr">
        <is>
          <t>Revenue: flour</t>
        </is>
      </c>
      <c r="B5" s="30" t="n"/>
      <c r="C5" s="30" t="n"/>
      <c r="D5" s="30" t="n">
        <v>5000000</v>
      </c>
      <c r="E5" s="30" t="n"/>
      <c r="F5" s="30" t="n"/>
      <c r="G5" s="30" t="n"/>
      <c r="H5" s="30" t="n"/>
      <c r="I5" s="30" t="n"/>
      <c r="J5" s="30" t="n"/>
      <c r="K5" s="30" t="n"/>
      <c r="L5" s="30" t="n"/>
      <c r="M5" s="30" t="n"/>
      <c r="N5" s="25" t="inlineStr">
        <is>
          <t>500 quintals x 10,000</t>
        </is>
      </c>
    </row>
    <row r="6">
      <c r="A6" s="32" t="inlineStr">
        <is>
          <t>Revenue: pasta</t>
        </is>
      </c>
      <c r="B6" s="30" t="n"/>
      <c r="C6" s="30" t="n"/>
      <c r="D6" s="30" t="n">
        <v>3200000</v>
      </c>
      <c r="E6" s="30" t="n"/>
      <c r="F6" s="30" t="n"/>
      <c r="G6" s="30" t="n"/>
      <c r="H6" s="30" t="n"/>
      <c r="I6" s="30" t="n"/>
      <c r="J6" s="30" t="n"/>
      <c r="K6" s="30" t="n"/>
      <c r="L6" s="30" t="n"/>
      <c r="M6" s="30" t="n"/>
      <c r="N6" s="25" t="inlineStr">
        <is>
          <t>2,000 cartons x 1,600</t>
        </is>
      </c>
    </row>
    <row r="7">
      <c r="A7" s="32" t="inlineStr">
        <is>
          <t>Revenue: bran</t>
        </is>
      </c>
      <c r="B7" s="30" t="n"/>
      <c r="C7" s="30" t="n"/>
      <c r="D7" s="30" t="n">
        <v>400000</v>
      </c>
      <c r="E7" s="30" t="n"/>
      <c r="F7" s="30" t="n"/>
      <c r="G7" s="30" t="n"/>
      <c r="H7" s="30" t="n"/>
      <c r="I7" s="30" t="n"/>
      <c r="J7" s="30" t="n"/>
      <c r="K7" s="30" t="n"/>
      <c r="L7" s="30" t="n"/>
      <c r="M7" s="30" t="n"/>
      <c r="N7" s="25" t="n"/>
    </row>
    <row r="8">
      <c r="A8" s="32" t="inlineStr">
        <is>
          <t>Materials</t>
        </is>
      </c>
      <c r="B8" s="30" t="n"/>
      <c r="C8" s="30" t="n"/>
      <c r="D8" s="30" t="n">
        <v>4816000</v>
      </c>
      <c r="E8" s="30" t="n"/>
      <c r="F8" s="30" t="n"/>
      <c r="G8" s="30" t="n"/>
      <c r="H8" s="30" t="n"/>
      <c r="I8" s="30" t="n"/>
      <c r="J8" s="30" t="n"/>
      <c r="K8" s="30" t="n"/>
      <c r="L8" s="30" t="n"/>
      <c r="M8" s="30" t="n"/>
      <c r="N8" s="25" t="inlineStr">
        <is>
          <t>flour 500 x 6,400 + pasta 2,000 x 808</t>
        </is>
      </c>
    </row>
    <row r="9">
      <c r="A9" s="32" t="inlineStr">
        <is>
          <t>Stock count adjustment</t>
        </is>
      </c>
      <c r="B9" s="30" t="n"/>
      <c r="C9" s="30" t="n"/>
      <c r="D9" s="30" t="n">
        <v>0</v>
      </c>
      <c r="E9" s="30" t="n"/>
      <c r="F9" s="30" t="n"/>
      <c r="G9" s="30" t="n"/>
      <c r="H9" s="30" t="n"/>
      <c r="I9" s="30" t="n"/>
      <c r="J9" s="30" t="n"/>
      <c r="K9" s="30" t="n"/>
      <c r="L9" s="30" t="n"/>
      <c r="M9" s="30" t="n"/>
      <c r="N9" s="25" t="n"/>
    </row>
    <row r="10">
      <c r="A10" s="32" t="inlineStr">
        <is>
          <t>Packaging</t>
        </is>
      </c>
      <c r="B10" s="30" t="n"/>
      <c r="C10" s="30" t="n"/>
      <c r="D10" s="30" t="n">
        <v>430000</v>
      </c>
      <c r="E10" s="30" t="n"/>
      <c r="F10" s="30" t="n"/>
      <c r="G10" s="30" t="n"/>
      <c r="H10" s="30" t="n"/>
      <c r="I10" s="30" t="n"/>
      <c r="J10" s="30" t="n"/>
      <c r="K10" s="30" t="n"/>
      <c r="L10" s="30" t="n"/>
      <c r="M10" s="30" t="n"/>
      <c r="N10" s="25" t="inlineStr">
        <is>
          <t>5% of revenue</t>
        </is>
      </c>
    </row>
    <row r="11">
      <c r="A11" s="32" t="inlineStr">
        <is>
          <t>Direct labor</t>
        </is>
      </c>
      <c r="B11" s="30" t="n"/>
      <c r="C11" s="30" t="n"/>
      <c r="D11" s="30" t="n">
        <v>360000</v>
      </c>
      <c r="E11" s="30" t="n"/>
      <c r="F11" s="30" t="n"/>
      <c r="G11" s="30" t="n"/>
      <c r="H11" s="30" t="n"/>
      <c r="I11" s="30" t="n"/>
      <c r="J11" s="30" t="n"/>
      <c r="K11" s="30" t="n"/>
      <c r="L11" s="30" t="n"/>
      <c r="M11" s="30" t="n"/>
      <c r="N11" s="25" t="n"/>
    </row>
    <row r="12">
      <c r="A12" s="32" t="inlineStr">
        <is>
          <t>Factory power and maintenance</t>
        </is>
      </c>
      <c r="B12" s="30" t="n"/>
      <c r="C12" s="30" t="n"/>
      <c r="D12" s="30" t="n">
        <v>300000</v>
      </c>
      <c r="E12" s="30" t="n"/>
      <c r="F12" s="30" t="n"/>
      <c r="G12" s="30" t="n"/>
      <c r="H12" s="30" t="n"/>
      <c r="I12" s="30" t="n"/>
      <c r="J12" s="30" t="n"/>
      <c r="K12" s="30" t="n"/>
      <c r="L12" s="30" t="n"/>
      <c r="M12" s="30" t="n"/>
      <c r="N12" s="25" t="n"/>
    </row>
    <row r="13">
      <c r="A13" s="32" t="inlineStr">
        <is>
          <t>Factory depreciation</t>
        </is>
      </c>
      <c r="B13" s="30" t="n"/>
      <c r="C13" s="30" t="n"/>
      <c r="D13" s="30" t="n">
        <v>160000</v>
      </c>
      <c r="E13" s="30" t="n"/>
      <c r="F13" s="30" t="n"/>
      <c r="G13" s="30" t="n"/>
      <c r="H13" s="30" t="n"/>
      <c r="I13" s="30" t="n"/>
      <c r="J13" s="30" t="n"/>
      <c r="K13" s="30" t="n"/>
      <c r="L13" s="30" t="n"/>
      <c r="M13" s="30" t="n"/>
      <c r="N13" s="25" t="n"/>
    </row>
    <row r="14">
      <c r="A14" s="32" t="inlineStr">
        <is>
          <t>Selling and distribution</t>
        </is>
      </c>
      <c r="B14" s="30" t="n"/>
      <c r="C14" s="30" t="n"/>
      <c r="D14" s="30" t="n">
        <v>600000</v>
      </c>
      <c r="E14" s="30" t="n"/>
      <c r="F14" s="30" t="n"/>
      <c r="G14" s="30" t="n"/>
      <c r="H14" s="30" t="n"/>
      <c r="I14" s="30" t="n"/>
      <c r="J14" s="30" t="n"/>
      <c r="K14" s="30" t="n"/>
      <c r="L14" s="30" t="n"/>
      <c r="M14" s="30" t="n"/>
      <c r="N14" s="25" t="inlineStr">
        <is>
          <t>variable 5% of revenue 430,000 + fixed 170,000</t>
        </is>
      </c>
    </row>
    <row r="15">
      <c r="A15" s="32" t="inlineStr">
        <is>
          <t>Administrative salaries</t>
        </is>
      </c>
      <c r="B15" s="30" t="n"/>
      <c r="C15" s="30" t="n"/>
      <c r="D15" s="30" t="n">
        <v>340000</v>
      </c>
      <c r="E15" s="30" t="n"/>
      <c r="F15" s="30" t="n"/>
      <c r="G15" s="30" t="n"/>
      <c r="H15" s="30" t="n"/>
      <c r="I15" s="30" t="n"/>
      <c r="J15" s="30" t="n"/>
      <c r="K15" s="30" t="n"/>
      <c r="L15" s="30" t="n"/>
      <c r="M15" s="30" t="n"/>
      <c r="N15" s="25" t="n"/>
    </row>
    <row r="16">
      <c r="A16" s="32" t="inlineStr">
        <is>
          <t>Rent and utilities</t>
        </is>
      </c>
      <c r="B16" s="30" t="n"/>
      <c r="C16" s="30" t="n"/>
      <c r="D16" s="30" t="n">
        <v>90000</v>
      </c>
      <c r="E16" s="30" t="n"/>
      <c r="F16" s="30" t="n"/>
      <c r="G16" s="30" t="n"/>
      <c r="H16" s="30" t="n"/>
      <c r="I16" s="30" t="n"/>
      <c r="J16" s="30" t="n"/>
      <c r="K16" s="30" t="n"/>
      <c r="L16" s="30" t="n"/>
      <c r="M16" s="30" t="n"/>
      <c r="N16" s="25" t="n"/>
    </row>
    <row r="17">
      <c r="A17" s="32" t="inlineStr">
        <is>
          <t>Other administration</t>
        </is>
      </c>
      <c r="B17" s="30" t="n"/>
      <c r="C17" s="30" t="n"/>
      <c r="D17" s="30" t="n">
        <v>100000</v>
      </c>
      <c r="E17" s="30" t="n"/>
      <c r="F17" s="30" t="n"/>
      <c r="G17" s="30" t="n"/>
      <c r="H17" s="30" t="n"/>
      <c r="I17" s="30" t="n"/>
      <c r="J17" s="30" t="n"/>
      <c r="K17" s="30" t="n"/>
      <c r="L17" s="30" t="n"/>
      <c r="M17" s="30" t="n"/>
      <c r="N17" s="25" t="n"/>
    </row>
    <row r="18">
      <c r="A18" s="32" t="inlineStr">
        <is>
          <t>Depreciation, vehicles and office</t>
        </is>
      </c>
      <c r="B18" s="30" t="n"/>
      <c r="C18" s="30" t="n"/>
      <c r="D18" s="30" t="n">
        <v>70000</v>
      </c>
      <c r="E18" s="30" t="n"/>
      <c r="F18" s="30" t="n"/>
      <c r="G18" s="30" t="n"/>
      <c r="H18" s="30" t="n"/>
      <c r="I18" s="30" t="n"/>
      <c r="J18" s="30" t="n"/>
      <c r="K18" s="30" t="n"/>
      <c r="L18" s="30" t="n"/>
      <c r="M18" s="30" t="n"/>
      <c r="N18" s="25" t="n"/>
    </row>
    <row r="19">
      <c r="A19" s="32" t="inlineStr">
        <is>
          <t>Credit loss allowance</t>
        </is>
      </c>
      <c r="B19" s="30" t="n"/>
      <c r="C19" s="30" t="n"/>
      <c r="D19" s="30" t="n">
        <v>20000</v>
      </c>
      <c r="E19" s="30" t="n"/>
      <c r="F19" s="30" t="n"/>
      <c r="G19" s="30" t="n"/>
      <c r="H19" s="30" t="n"/>
      <c r="I19" s="30" t="n"/>
      <c r="J19" s="30" t="n"/>
      <c r="K19" s="30" t="n"/>
      <c r="L19" s="30" t="n"/>
      <c r="M19" s="30" t="n"/>
      <c r="N19" s="25" t="n"/>
    </row>
    <row r="20">
      <c r="A20" s="32" t="inlineStr">
        <is>
          <t>Finance costs</t>
        </is>
      </c>
      <c r="B20" s="30" t="n"/>
      <c r="C20" s="30" t="n"/>
      <c r="D20" s="30" t="n">
        <v>170000</v>
      </c>
      <c r="E20" s="30" t="n"/>
      <c r="F20" s="30" t="n"/>
      <c r="G20" s="30" t="n"/>
      <c r="H20" s="30" t="n"/>
      <c r="I20" s="30" t="n"/>
      <c r="J20" s="30" t="n"/>
      <c r="K20" s="30" t="n"/>
      <c r="L20" s="30" t="n"/>
      <c r="M20" s="30" t="n"/>
      <c r="N20" s="25" t="n"/>
    </row>
    <row r="21">
      <c r="A21" s="32" t="inlineStr">
        <is>
          <t>Income tax</t>
        </is>
      </c>
      <c r="B21" s="30" t="n"/>
      <c r="C21" s="30" t="n"/>
      <c r="D21" s="30" t="n">
        <v>343200</v>
      </c>
      <c r="E21" s="30" t="n"/>
      <c r="F21" s="30" t="n"/>
      <c r="G21" s="30" t="n"/>
      <c r="H21" s="30" t="n"/>
      <c r="I21" s="30" t="n"/>
      <c r="J21" s="30" t="n"/>
      <c r="K21" s="30" t="n"/>
      <c r="L21" s="30" t="n"/>
      <c r="M21" s="30" t="n"/>
      <c r="N21" s="25" t="inlineStr">
        <is>
          <t>30% x 1,144,000, above 2.5% x 8,600,000 = 215,000</t>
        </is>
      </c>
    </row>
    <row r="22"/>
    <row r="23">
      <c r="A23" s="4" t="inlineStr">
        <is>
          <t>Budget drivers for the flex analysis (P03 Meskerem)</t>
        </is>
      </c>
    </row>
    <row r="24">
      <c r="A24" s="10" t="inlineStr">
        <is>
          <t>Flour budget volume (quintals)</t>
        </is>
      </c>
      <c r="B24" s="29" t="n">
        <v>500</v>
      </c>
    </row>
    <row r="25">
      <c r="A25" s="10" t="inlineStr">
        <is>
          <t>Flour budget price per quintal</t>
        </is>
      </c>
      <c r="B25" s="30" t="n">
        <v>10000</v>
      </c>
    </row>
    <row r="26">
      <c r="A26" s="10" t="inlineStr">
        <is>
          <t>Flour materials per quintal</t>
        </is>
      </c>
      <c r="B26" s="30" t="n">
        <v>6400</v>
      </c>
    </row>
    <row r="27">
      <c r="A27" s="10" t="inlineStr">
        <is>
          <t>Pasta budget volume (cartons)</t>
        </is>
      </c>
      <c r="B27" s="29" t="n">
        <v>2000</v>
      </c>
    </row>
    <row r="28">
      <c r="A28" s="10" t="inlineStr">
        <is>
          <t>Pasta budget price per carton</t>
        </is>
      </c>
      <c r="B28" s="30" t="n">
        <v>1600</v>
      </c>
    </row>
    <row r="29">
      <c r="A29" s="10" t="inlineStr">
        <is>
          <t>Pasta materials per carton</t>
        </is>
      </c>
      <c r="B29" s="30" t="n">
        <v>808</v>
      </c>
    </row>
    <row r="30">
      <c r="A30" s="10" t="inlineStr">
        <is>
          <t>Packaging, % of revenue</t>
        </is>
      </c>
      <c r="B30" s="33" t="n">
        <v>0.05</v>
      </c>
    </row>
    <row r="31">
      <c r="A31" s="10" t="inlineStr">
        <is>
          <t>Variable selling cost, % of revenue</t>
        </is>
      </c>
      <c r="B31" s="33" t="n">
        <v>0.05</v>
      </c>
    </row>
  </sheetData>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4C3A"/>
    <outlinePr summaryBelow="1" summaryRight="1"/>
    <pageSetUpPr fitToPage="1"/>
  </sheetPr>
  <dimension ref="A1:E4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hidden="1" width="3" customWidth="1" min="1" max="1"/>
    <col width="40" customWidth="1" min="2" max="2"/>
    <col width="16" customWidth="1" min="3" max="3"/>
    <col width="13" customWidth="1" min="4" max="4"/>
    <col width="16" customWidth="1" min="5" max="5"/>
    <col width="3" customWidth="1" min="6" max="6"/>
  </cols>
  <sheetData>
    <row r="1" ht="26" customHeight="1">
      <c r="A1" s="1" t="n"/>
      <c r="B1" s="34">
        <f>Settings!C2&amp;": income statement by function"</f>
        <v/>
      </c>
      <c r="C1" s="2" t="n"/>
      <c r="D1" s="2" t="n"/>
      <c r="E1" s="2" t="n"/>
    </row>
    <row r="2">
      <c r="B2" s="35">
        <f>"Period: "&amp;Settings!C4&amp;" (year to date to period "&amp;Settings!C5&amp;")"</f>
        <v/>
      </c>
    </row>
    <row r="3"/>
    <row r="4"/>
    <row r="5" ht="20" customHeight="1">
      <c r="B5" s="7" t="inlineStr">
        <is>
          <t>Line</t>
        </is>
      </c>
      <c r="C5" s="7" t="inlineStr">
        <is>
          <t>Current month</t>
        </is>
      </c>
      <c r="D5" s="7" t="inlineStr">
        <is>
          <t>% of revenue</t>
        </is>
      </c>
      <c r="E5" s="7" t="inlineStr">
        <is>
          <t>Year to date</t>
        </is>
      </c>
    </row>
    <row r="6">
      <c r="A6" s="36" t="inlineStr">
        <is>
          <t>Revenue: flour</t>
        </is>
      </c>
      <c r="B6" s="10" t="inlineStr">
        <is>
          <t>Revenue: flour</t>
        </is>
      </c>
      <c r="C6" s="31">
        <f>SUMIFS(Transactions!$N$5:$N$1004,Transactions!$F$5:$F$1004,$A6,Transactions!$B$5:$B$1004,Settings!$C$4)</f>
        <v/>
      </c>
      <c r="D6" s="37">
        <f>IF($C$9=0,"",C6/$C$9)</f>
        <v/>
      </c>
      <c r="E6" s="31">
        <f>SUMIFS(Transactions!$N$5:$N$1004,Transactions!$F$5:$F$1004,$A6,Transactions!$C$5:$C$1004,"&lt;="&amp;Settings!$C$5)</f>
        <v/>
      </c>
    </row>
    <row r="7">
      <c r="A7" s="36" t="inlineStr">
        <is>
          <t>Revenue: pasta</t>
        </is>
      </c>
      <c r="B7" s="10" t="inlineStr">
        <is>
          <t>Revenue: pasta</t>
        </is>
      </c>
      <c r="C7" s="31">
        <f>SUMIFS(Transactions!$N$5:$N$1004,Transactions!$F$5:$F$1004,$A7,Transactions!$B$5:$B$1004,Settings!$C$4)</f>
        <v/>
      </c>
      <c r="D7" s="37">
        <f>IF($C$9=0,"",C7/$C$9)</f>
        <v/>
      </c>
      <c r="E7" s="31">
        <f>SUMIFS(Transactions!$N$5:$N$1004,Transactions!$F$5:$F$1004,$A7,Transactions!$C$5:$C$1004,"&lt;="&amp;Settings!$C$5)</f>
        <v/>
      </c>
    </row>
    <row r="8">
      <c r="A8" s="36" t="inlineStr">
        <is>
          <t>Revenue: bran</t>
        </is>
      </c>
      <c r="B8" s="10" t="inlineStr">
        <is>
          <t>Revenue: bran</t>
        </is>
      </c>
      <c r="C8" s="31">
        <f>SUMIFS(Transactions!$N$5:$N$1004,Transactions!$F$5:$F$1004,$A8,Transactions!$B$5:$B$1004,Settings!$C$4)</f>
        <v/>
      </c>
      <c r="D8" s="37">
        <f>IF($C$9=0,"",C8/$C$9)</f>
        <v/>
      </c>
      <c r="E8" s="31">
        <f>SUMIFS(Transactions!$N$5:$N$1004,Transactions!$F$5:$F$1004,$A8,Transactions!$C$5:$C$1004,"&lt;="&amp;Settings!$C$5)</f>
        <v/>
      </c>
    </row>
    <row r="9">
      <c r="A9" s="36" t="n"/>
      <c r="B9" s="38" t="inlineStr">
        <is>
          <t>Total revenue</t>
        </is>
      </c>
      <c r="C9" s="39">
        <f>SUM(C6:C8)</f>
        <v/>
      </c>
      <c r="D9" s="40">
        <f>IF($C$9=0,"",C9/$C$9)</f>
        <v/>
      </c>
      <c r="E9" s="39">
        <f>SUM(E6:E8)</f>
        <v/>
      </c>
    </row>
    <row r="10">
      <c r="A10" s="36" t="inlineStr">
        <is>
          <t>Materials</t>
        </is>
      </c>
      <c r="B10" s="10" t="inlineStr">
        <is>
          <t>Materials</t>
        </is>
      </c>
      <c r="C10" s="31">
        <f>SUMIFS(Transactions!$N$5:$N$1004,Transactions!$F$5:$F$1004,$A10,Transactions!$B$5:$B$1004,Settings!$C$4)</f>
        <v/>
      </c>
      <c r="D10" s="37">
        <f>IF($C$9=0,"",C10/$C$9)</f>
        <v/>
      </c>
      <c r="E10" s="31">
        <f>SUMIFS(Transactions!$N$5:$N$1004,Transactions!$F$5:$F$1004,$A10,Transactions!$C$5:$C$1004,"&lt;="&amp;Settings!$C$5)</f>
        <v/>
      </c>
    </row>
    <row r="11">
      <c r="A11" s="36" t="inlineStr">
        <is>
          <t>Stock count adjustment</t>
        </is>
      </c>
      <c r="B11" s="10" t="inlineStr">
        <is>
          <t>Stock count adjustment</t>
        </is>
      </c>
      <c r="C11" s="31">
        <f>SUMIFS(Transactions!$N$5:$N$1004,Transactions!$F$5:$F$1004,$A11,Transactions!$B$5:$B$1004,Settings!$C$4)</f>
        <v/>
      </c>
      <c r="D11" s="37">
        <f>IF($C$9=0,"",C11/$C$9)</f>
        <v/>
      </c>
      <c r="E11" s="31">
        <f>SUMIFS(Transactions!$N$5:$N$1004,Transactions!$F$5:$F$1004,$A11,Transactions!$C$5:$C$1004,"&lt;="&amp;Settings!$C$5)</f>
        <v/>
      </c>
    </row>
    <row r="12">
      <c r="A12" s="36" t="inlineStr">
        <is>
          <t>Packaging</t>
        </is>
      </c>
      <c r="B12" s="10" t="inlineStr">
        <is>
          <t>Packaging</t>
        </is>
      </c>
      <c r="C12" s="31">
        <f>SUMIFS(Transactions!$N$5:$N$1004,Transactions!$F$5:$F$1004,$A12,Transactions!$B$5:$B$1004,Settings!$C$4)</f>
        <v/>
      </c>
      <c r="D12" s="37">
        <f>IF($C$9=0,"",C12/$C$9)</f>
        <v/>
      </c>
      <c r="E12" s="31">
        <f>SUMIFS(Transactions!$N$5:$N$1004,Transactions!$F$5:$F$1004,$A12,Transactions!$C$5:$C$1004,"&lt;="&amp;Settings!$C$5)</f>
        <v/>
      </c>
    </row>
    <row r="13">
      <c r="A13" s="36" t="inlineStr">
        <is>
          <t>Direct labor</t>
        </is>
      </c>
      <c r="B13" s="10" t="inlineStr">
        <is>
          <t>Direct labor</t>
        </is>
      </c>
      <c r="C13" s="31">
        <f>SUMIFS(Transactions!$N$5:$N$1004,Transactions!$F$5:$F$1004,$A13,Transactions!$B$5:$B$1004,Settings!$C$4)</f>
        <v/>
      </c>
      <c r="D13" s="37">
        <f>IF($C$9=0,"",C13/$C$9)</f>
        <v/>
      </c>
      <c r="E13" s="31">
        <f>SUMIFS(Transactions!$N$5:$N$1004,Transactions!$F$5:$F$1004,$A13,Transactions!$C$5:$C$1004,"&lt;="&amp;Settings!$C$5)</f>
        <v/>
      </c>
    </row>
    <row r="14">
      <c r="A14" s="36" t="inlineStr">
        <is>
          <t>Factory power and maintenance</t>
        </is>
      </c>
      <c r="B14" s="10" t="inlineStr">
        <is>
          <t>Factory power and maintenance</t>
        </is>
      </c>
      <c r="C14" s="31">
        <f>SUMIFS(Transactions!$N$5:$N$1004,Transactions!$F$5:$F$1004,$A14,Transactions!$B$5:$B$1004,Settings!$C$4)</f>
        <v/>
      </c>
      <c r="D14" s="37">
        <f>IF($C$9=0,"",C14/$C$9)</f>
        <v/>
      </c>
      <c r="E14" s="31">
        <f>SUMIFS(Transactions!$N$5:$N$1004,Transactions!$F$5:$F$1004,$A14,Transactions!$C$5:$C$1004,"&lt;="&amp;Settings!$C$5)</f>
        <v/>
      </c>
    </row>
    <row r="15">
      <c r="A15" s="36" t="inlineStr">
        <is>
          <t>Factory depreciation</t>
        </is>
      </c>
      <c r="B15" s="10" t="inlineStr">
        <is>
          <t>Factory depreciation</t>
        </is>
      </c>
      <c r="C15" s="31">
        <f>SUMIFS(Transactions!$N$5:$N$1004,Transactions!$F$5:$F$1004,$A15,Transactions!$B$5:$B$1004,Settings!$C$4)</f>
        <v/>
      </c>
      <c r="D15" s="37">
        <f>IF($C$9=0,"",C15/$C$9)</f>
        <v/>
      </c>
      <c r="E15" s="31">
        <f>SUMIFS(Transactions!$N$5:$N$1004,Transactions!$F$5:$F$1004,$A15,Transactions!$C$5:$C$1004,"&lt;="&amp;Settings!$C$5)</f>
        <v/>
      </c>
    </row>
    <row r="16">
      <c r="A16" s="36" t="n"/>
      <c r="B16" s="9" t="inlineStr">
        <is>
          <t>Cost of sales</t>
        </is>
      </c>
      <c r="C16" s="41">
        <f>SUM(C10:C15)</f>
        <v/>
      </c>
      <c r="D16" s="42">
        <f>IF($C$9=0,"",C16/$C$9)</f>
        <v/>
      </c>
      <c r="E16" s="41">
        <f>SUM(E10:E15)</f>
        <v/>
      </c>
    </row>
    <row r="17">
      <c r="A17" s="36" t="n"/>
      <c r="B17" s="38" t="inlineStr">
        <is>
          <t>Gross profit</t>
        </is>
      </c>
      <c r="C17" s="39">
        <f>C9-C16</f>
        <v/>
      </c>
      <c r="D17" s="40">
        <f>IF($C$9=0,"",C17/$C$9)</f>
        <v/>
      </c>
      <c r="E17" s="39">
        <f>E9-E16</f>
        <v/>
      </c>
    </row>
    <row r="18">
      <c r="A18" s="36" t="inlineStr">
        <is>
          <t>Selling and distribution</t>
        </is>
      </c>
      <c r="B18" s="10" t="inlineStr">
        <is>
          <t>Selling and distribution</t>
        </is>
      </c>
      <c r="C18" s="31">
        <f>SUMIFS(Transactions!$N$5:$N$1004,Transactions!$F$5:$F$1004,$A18,Transactions!$B$5:$B$1004,Settings!$C$4)</f>
        <v/>
      </c>
      <c r="D18" s="37">
        <f>IF($C$9=0,"",C18/$C$9)</f>
        <v/>
      </c>
      <c r="E18" s="31">
        <f>SUMIFS(Transactions!$N$5:$N$1004,Transactions!$F$5:$F$1004,$A18,Transactions!$C$5:$C$1004,"&lt;="&amp;Settings!$C$5)</f>
        <v/>
      </c>
    </row>
    <row r="19">
      <c r="A19" s="36" t="inlineStr">
        <is>
          <t>Administrative salaries</t>
        </is>
      </c>
      <c r="B19" s="10" t="inlineStr">
        <is>
          <t>Administrative salaries</t>
        </is>
      </c>
      <c r="C19" s="31">
        <f>SUMIFS(Transactions!$N$5:$N$1004,Transactions!$F$5:$F$1004,$A19,Transactions!$B$5:$B$1004,Settings!$C$4)</f>
        <v/>
      </c>
      <c r="D19" s="37">
        <f>IF($C$9=0,"",C19/$C$9)</f>
        <v/>
      </c>
      <c r="E19" s="31">
        <f>SUMIFS(Transactions!$N$5:$N$1004,Transactions!$F$5:$F$1004,$A19,Transactions!$C$5:$C$1004,"&lt;="&amp;Settings!$C$5)</f>
        <v/>
      </c>
    </row>
    <row r="20">
      <c r="A20" s="36" t="inlineStr">
        <is>
          <t>Rent and utilities</t>
        </is>
      </c>
      <c r="B20" s="10" t="inlineStr">
        <is>
          <t>Rent and utilities</t>
        </is>
      </c>
      <c r="C20" s="31">
        <f>SUMIFS(Transactions!$N$5:$N$1004,Transactions!$F$5:$F$1004,$A20,Transactions!$B$5:$B$1004,Settings!$C$4)</f>
        <v/>
      </c>
      <c r="D20" s="37">
        <f>IF($C$9=0,"",C20/$C$9)</f>
        <v/>
      </c>
      <c r="E20" s="31">
        <f>SUMIFS(Transactions!$N$5:$N$1004,Transactions!$F$5:$F$1004,$A20,Transactions!$C$5:$C$1004,"&lt;="&amp;Settings!$C$5)</f>
        <v/>
      </c>
    </row>
    <row r="21">
      <c r="A21" s="36" t="inlineStr">
        <is>
          <t>Other administration</t>
        </is>
      </c>
      <c r="B21" s="10" t="inlineStr">
        <is>
          <t>Other administration</t>
        </is>
      </c>
      <c r="C21" s="31">
        <f>SUMIFS(Transactions!$N$5:$N$1004,Transactions!$F$5:$F$1004,$A21,Transactions!$B$5:$B$1004,Settings!$C$4)</f>
        <v/>
      </c>
      <c r="D21" s="37">
        <f>IF($C$9=0,"",C21/$C$9)</f>
        <v/>
      </c>
      <c r="E21" s="31">
        <f>SUMIFS(Transactions!$N$5:$N$1004,Transactions!$F$5:$F$1004,$A21,Transactions!$C$5:$C$1004,"&lt;="&amp;Settings!$C$5)</f>
        <v/>
      </c>
    </row>
    <row r="22">
      <c r="A22" s="36" t="inlineStr">
        <is>
          <t>Depreciation, vehicles and office</t>
        </is>
      </c>
      <c r="B22" s="10" t="inlineStr">
        <is>
          <t>Depreciation, vehicles and office</t>
        </is>
      </c>
      <c r="C22" s="31">
        <f>SUMIFS(Transactions!$N$5:$N$1004,Transactions!$F$5:$F$1004,$A22,Transactions!$B$5:$B$1004,Settings!$C$4)</f>
        <v/>
      </c>
      <c r="D22" s="37">
        <f>IF($C$9=0,"",C22/$C$9)</f>
        <v/>
      </c>
      <c r="E22" s="31">
        <f>SUMIFS(Transactions!$N$5:$N$1004,Transactions!$F$5:$F$1004,$A22,Transactions!$C$5:$C$1004,"&lt;="&amp;Settings!$C$5)</f>
        <v/>
      </c>
    </row>
    <row r="23">
      <c r="A23" s="36" t="inlineStr">
        <is>
          <t>Credit loss allowance</t>
        </is>
      </c>
      <c r="B23" s="10" t="inlineStr">
        <is>
          <t>Credit loss allowance</t>
        </is>
      </c>
      <c r="C23" s="31">
        <f>SUMIFS(Transactions!$N$5:$N$1004,Transactions!$F$5:$F$1004,$A23,Transactions!$B$5:$B$1004,Settings!$C$4)</f>
        <v/>
      </c>
      <c r="D23" s="37">
        <f>IF($C$9=0,"",C23/$C$9)</f>
        <v/>
      </c>
      <c r="E23" s="31">
        <f>SUMIFS(Transactions!$N$5:$N$1004,Transactions!$F$5:$F$1004,$A23,Transactions!$C$5:$C$1004,"&lt;="&amp;Settings!$C$5)</f>
        <v/>
      </c>
    </row>
    <row r="24">
      <c r="A24" s="36" t="n"/>
      <c r="B24" s="9" t="inlineStr">
        <is>
          <t>Administration</t>
        </is>
      </c>
      <c r="C24" s="41">
        <f>SUM(C19:C23)</f>
        <v/>
      </c>
      <c r="D24" s="42">
        <f>IF($C$9=0,"",C24/$C$9)</f>
        <v/>
      </c>
      <c r="E24" s="41">
        <f>SUM(E19:E23)</f>
        <v/>
      </c>
    </row>
    <row r="25">
      <c r="A25" s="36" t="n"/>
      <c r="B25" s="38" t="inlineStr">
        <is>
          <t>Operating profit</t>
        </is>
      </c>
      <c r="C25" s="39">
        <f>C17-C18-C24</f>
        <v/>
      </c>
      <c r="D25" s="40">
        <f>IF($C$9=0,"",C25/$C$9)</f>
        <v/>
      </c>
      <c r="E25" s="39">
        <f>E17-E18-E24</f>
        <v/>
      </c>
    </row>
    <row r="26">
      <c r="A26" s="36" t="inlineStr">
        <is>
          <t>Finance costs</t>
        </is>
      </c>
      <c r="B26" s="10" t="inlineStr">
        <is>
          <t>Finance costs</t>
        </is>
      </c>
      <c r="C26" s="31">
        <f>SUMIFS(Transactions!$N$5:$N$1004,Transactions!$F$5:$F$1004,$A26,Transactions!$B$5:$B$1004,Settings!$C$4)</f>
        <v/>
      </c>
      <c r="D26" s="37">
        <f>IF($C$9=0,"",C26/$C$9)</f>
        <v/>
      </c>
      <c r="E26" s="31">
        <f>SUMIFS(Transactions!$N$5:$N$1004,Transactions!$F$5:$F$1004,$A26,Transactions!$C$5:$C$1004,"&lt;="&amp;Settings!$C$5)</f>
        <v/>
      </c>
    </row>
    <row r="27">
      <c r="A27" s="36" t="n"/>
      <c r="B27" s="9" t="inlineStr">
        <is>
          <t>Profit before tax</t>
        </is>
      </c>
      <c r="C27" s="41">
        <f>C25-C26</f>
        <v/>
      </c>
      <c r="D27" s="42">
        <f>IF($C$9=0,"",C27/$C$9)</f>
        <v/>
      </c>
      <c r="E27" s="41">
        <f>E25-E26</f>
        <v/>
      </c>
    </row>
    <row r="28">
      <c r="A28" s="36" t="inlineStr">
        <is>
          <t>Income tax</t>
        </is>
      </c>
      <c r="B28" s="10" t="inlineStr">
        <is>
          <t>Income tax (posted)</t>
        </is>
      </c>
      <c r="C28" s="31">
        <f>SUMIFS(Transactions!$N$5:$N$1004,Transactions!$F$5:$F$1004,$A28,Transactions!$B$5:$B$1004,Settings!$C$4)</f>
        <v/>
      </c>
      <c r="D28" s="37">
        <f>IF($C$9=0,"",C28/$C$9)</f>
        <v/>
      </c>
      <c r="E28" s="31">
        <f>SUMIFS(Transactions!$N$5:$N$1004,Transactions!$F$5:$F$1004,$A28,Transactions!$C$5:$C$1004,"&lt;="&amp;Settings!$C$5)</f>
        <v/>
      </c>
    </row>
    <row r="29">
      <c r="A29" s="36" t="n"/>
      <c r="B29" s="38" t="inlineStr">
        <is>
          <t>Profit for the period</t>
        </is>
      </c>
      <c r="C29" s="39">
        <f>C27-C28</f>
        <v/>
      </c>
      <c r="D29" s="40">
        <f>IF($C$9=0,"",C29/$C$9)</f>
        <v/>
      </c>
      <c r="E29" s="39">
        <f>E27-E28</f>
        <v/>
      </c>
    </row>
    <row r="30">
      <c r="B30" s="4" t="inlineStr">
        <is>
          <t>Memo</t>
        </is>
      </c>
    </row>
    <row r="31">
      <c r="B31" s="10" t="inlineStr">
        <is>
          <t>Tax check: 30% of PBT</t>
        </is>
      </c>
      <c r="C31" s="31">
        <f>C27*Settings!C7</f>
        <v/>
      </c>
    </row>
    <row r="32">
      <c r="B32" s="10" t="inlineStr">
        <is>
          <t>Minimum tax estimate</t>
        </is>
      </c>
      <c r="C32" s="31">
        <f>C9*Settings!C8</f>
        <v/>
      </c>
    </row>
    <row r="33">
      <c r="B33" s="10" t="inlineStr">
        <is>
          <t>Accrual required</t>
        </is>
      </c>
      <c r="C33" s="31">
        <f>MAX(C31,C32)</f>
        <v/>
      </c>
    </row>
    <row r="34">
      <c r="B34" s="10" t="inlineStr">
        <is>
          <t>Difference to posted tax</t>
        </is>
      </c>
      <c r="C34" s="41">
        <f>C33-C28</f>
        <v/>
      </c>
    </row>
    <row r="35">
      <c r="B35" s="10" t="inlineStr">
        <is>
          <t>EBITDA</t>
        </is>
      </c>
      <c r="C35" s="31">
        <f>C25+C15+C22</f>
        <v/>
      </c>
      <c r="D35" s="37">
        <f>IF($C$9=0,"",C35/$C$9)</f>
        <v/>
      </c>
    </row>
    <row r="36"/>
    <row r="37">
      <c r="B37" s="14" t="inlineStr">
        <is>
          <t>Amounts in Birr before VAT. Column A holds the statement line used by SUMIFS (hidden). Year to date sums PeriodNo up to the current period.</t>
        </is>
      </c>
    </row>
    <row r="38"/>
    <row r="39"/>
    <row r="40" ht="22" customHeight="1">
      <c r="A40" s="11" t="inlineStr">
        <is>
          <t>Investopia Academy · A platform by Erudite Africa Investments PLC · investopia.et</t>
        </is>
      </c>
      <c r="B40" s="12" t="n"/>
      <c r="C40" s="12" t="n"/>
      <c r="D40" s="12" t="n"/>
      <c r="E40" s="12" t="n"/>
    </row>
  </sheetData>
  <mergeCells count="2">
    <mergeCell ref="B37:E38"/>
    <mergeCell ref="A40:E40"/>
  </mergeCells>
  <conditionalFormatting sqref="C34">
    <cfRule type="expression" priority="1" dxfId="0">
      <formula>AND(ISNUMBER(C34),ABS(C34)&gt;0.005)</formula>
    </cfRule>
    <cfRule type="expression" priority="2" dxfId="1">
      <formula>AND(ISNUMBER(C34),ABS(C34)&lt;=0.005)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0F4C3A"/>
    <outlinePr summaryBelow="1" summaryRight="1"/>
    <pageSetUpPr fitToPage="1"/>
  </sheetPr>
  <dimension ref="A1:E4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52" customWidth="1" min="2" max="2"/>
    <col width="18" customWidth="1" min="3" max="3"/>
    <col width="18" customWidth="1" min="4" max="4"/>
    <col width="40" customWidth="1" min="5" max="5"/>
  </cols>
  <sheetData>
    <row r="1" ht="26" customHeight="1">
      <c r="A1" s="34">
        <f>Settings!C2&amp;": balance sheet (statement of financial position)"</f>
        <v/>
      </c>
      <c r="B1" s="2" t="n"/>
      <c r="C1" s="2" t="n"/>
      <c r="D1" s="2" t="n"/>
      <c r="E1" s="2" t="n"/>
    </row>
    <row r="2">
      <c r="A2" s="35">
        <f>"Closing balances from the trial balance. Current period: "&amp;Settings!C4</f>
        <v/>
      </c>
    </row>
    <row r="3"/>
    <row r="4"/>
    <row r="5" ht="33" customHeight="1">
      <c r="B5" s="7" t="inlineStr">
        <is>
          <t>Line</t>
        </is>
      </c>
      <c r="C5" s="7" t="inlineStr">
        <is>
          <t>End of P02 Nehase (opening)</t>
        </is>
      </c>
      <c r="D5" s="7" t="inlineStr">
        <is>
          <t>End of P03 Meskerem (closing)</t>
        </is>
      </c>
    </row>
    <row r="6">
      <c r="B6" s="10" t="inlineStr">
        <is>
          <t>Property, plant and equipment</t>
        </is>
      </c>
      <c r="C6" s="30" t="n">
        <v>21400000</v>
      </c>
      <c r="D6" s="30" t="n">
        <v>21770000</v>
      </c>
    </row>
    <row r="7">
      <c r="B7" s="10" t="inlineStr">
        <is>
          <t>Inventory</t>
        </is>
      </c>
      <c r="C7" s="30" t="n">
        <v>6900000</v>
      </c>
      <c r="D7" s="30" t="n">
        <v>7380000</v>
      </c>
    </row>
    <row r="8">
      <c r="B8" s="10" t="inlineStr">
        <is>
          <t>Trade receivables, net</t>
        </is>
      </c>
      <c r="C8" s="30" t="n">
        <v>8900000</v>
      </c>
      <c r="D8" s="30" t="n">
        <v>9840000</v>
      </c>
    </row>
    <row r="9">
      <c r="B9" s="10" t="inlineStr">
        <is>
          <t>Prepayments</t>
        </is>
      </c>
      <c r="C9" s="30" t="n">
        <v>240000</v>
      </c>
      <c r="D9" s="30" t="n">
        <v>260000</v>
      </c>
    </row>
    <row r="10">
      <c r="B10" s="10" t="inlineStr">
        <is>
          <t>Cash and bank</t>
        </is>
      </c>
      <c r="C10" s="30" t="n">
        <v>1020000</v>
      </c>
      <c r="D10" s="30" t="n">
        <v>170000</v>
      </c>
    </row>
    <row r="11">
      <c r="B11" s="9" t="inlineStr">
        <is>
          <t>Current assets</t>
        </is>
      </c>
      <c r="C11" s="41">
        <f>SUM(C7:C10)</f>
        <v/>
      </c>
      <c r="D11" s="41">
        <f>SUM(D7:D10)</f>
        <v/>
      </c>
    </row>
    <row r="12">
      <c r="B12" s="9" t="inlineStr">
        <is>
          <t>Total assets</t>
        </is>
      </c>
      <c r="C12" s="41">
        <f>C6+C11</f>
        <v/>
      </c>
      <c r="D12" s="41">
        <f>D6+D11</f>
        <v/>
      </c>
    </row>
    <row r="13">
      <c r="B13" s="4" t="inlineStr">
        <is>
          <t>Liabilities</t>
        </is>
      </c>
    </row>
    <row r="14">
      <c r="B14" s="10" t="inlineStr">
        <is>
          <t>Trade payables</t>
        </is>
      </c>
      <c r="C14" s="30" t="n">
        <v>4300000</v>
      </c>
      <c r="D14" s="30" t="n">
        <v>4100000</v>
      </c>
    </row>
    <row r="15">
      <c r="B15" s="10" t="inlineStr">
        <is>
          <t>VAT, PAYE, pension and withholding payable</t>
        </is>
      </c>
      <c r="C15" s="30" t="n">
        <v>760000</v>
      </c>
      <c r="D15" s="30" t="n">
        <v>820000</v>
      </c>
    </row>
    <row r="16" ht="33" customHeight="1">
      <c r="B16" s="10" t="inlineStr">
        <is>
          <t>Income tax payable (includes 1,100,000 balance for 2025/26)</t>
        </is>
      </c>
      <c r="C16" s="30" t="n">
        <v>1460000</v>
      </c>
      <c r="D16" s="30" t="n">
        <v>1665000</v>
      </c>
    </row>
    <row r="17">
      <c r="B17" s="10" t="inlineStr">
        <is>
          <t>Bank overdraft (Bank A)</t>
        </is>
      </c>
      <c r="C17" s="30" t="n">
        <v>2000000</v>
      </c>
      <c r="D17" s="30" t="n">
        <v>2600000</v>
      </c>
    </row>
    <row r="18">
      <c r="B18" s="10" t="inlineStr">
        <is>
          <t>Term loan due within 12 months</t>
        </is>
      </c>
      <c r="C18" s="30" t="n">
        <v>1200000</v>
      </c>
      <c r="D18" s="30" t="n">
        <v>1200000</v>
      </c>
    </row>
    <row r="19">
      <c r="B19" s="9" t="inlineStr">
        <is>
          <t>Current liabilities</t>
        </is>
      </c>
      <c r="C19" s="41">
        <f>SUM(C14:C18)</f>
        <v/>
      </c>
      <c r="D19" s="41">
        <f>SUM(D14:D18)</f>
        <v/>
      </c>
    </row>
    <row r="20">
      <c r="B20" s="10" t="inlineStr">
        <is>
          <t>Term loan due after 12 months</t>
        </is>
      </c>
      <c r="C20" s="30" t="n">
        <v>8500000</v>
      </c>
      <c r="D20" s="30" t="n">
        <v>8400000</v>
      </c>
    </row>
    <row r="21">
      <c r="B21" s="9" t="inlineStr">
        <is>
          <t>Total liabilities</t>
        </is>
      </c>
      <c r="C21" s="41">
        <f>C19+C20</f>
        <v/>
      </c>
      <c r="D21" s="41">
        <f>D19+D20</f>
        <v/>
      </c>
    </row>
    <row r="22">
      <c r="B22" s="4" t="inlineStr">
        <is>
          <t>Equity</t>
        </is>
      </c>
    </row>
    <row r="23">
      <c r="B23" s="10" t="inlineStr">
        <is>
          <t>Share capital</t>
        </is>
      </c>
      <c r="C23" s="30" t="n">
        <v>12000000</v>
      </c>
      <c r="D23" s="30" t="n">
        <v>12000000</v>
      </c>
    </row>
    <row r="24" ht="33" customHeight="1">
      <c r="B24" s="10" t="inlineStr">
        <is>
          <t>Retained earnings</t>
        </is>
      </c>
      <c r="C24" s="30" t="n">
        <v>8240000</v>
      </c>
      <c r="D24" s="31">
        <f>C24+IS!C29-D30</f>
        <v/>
      </c>
      <c r="E24" s="14" t="inlineStr">
        <is>
          <t>Closing = opening + profit for the period (IS!C29) minus dividends declared (D30).</t>
        </is>
      </c>
    </row>
    <row r="25">
      <c r="B25" s="9" t="inlineStr">
        <is>
          <t>Equity</t>
        </is>
      </c>
      <c r="C25" s="41">
        <f>C23+C24</f>
        <v/>
      </c>
      <c r="D25" s="41">
        <f>D23+D24</f>
        <v/>
      </c>
    </row>
    <row r="26">
      <c r="B26" s="9" t="inlineStr">
        <is>
          <t>Total liabilities and equity</t>
        </is>
      </c>
      <c r="C26" s="41">
        <f>C21+C25</f>
        <v/>
      </c>
      <c r="D26" s="41">
        <f>D21+D25</f>
        <v/>
      </c>
    </row>
    <row r="27" ht="33" customHeight="1">
      <c r="B27" s="9" t="inlineStr">
        <is>
          <t>Balance check (total assets minus total liabilities and equity)</t>
        </is>
      </c>
      <c r="C27" s="41">
        <f>C12-C26</f>
        <v/>
      </c>
      <c r="D27" s="41">
        <f>D12-D26</f>
        <v/>
      </c>
    </row>
    <row r="28"/>
    <row r="29">
      <c r="B29" s="4" t="inlineStr">
        <is>
          <t>Memo</t>
        </is>
      </c>
    </row>
    <row r="30">
      <c r="B30" s="10" t="inlineStr">
        <is>
          <t>Dividends declared in the month</t>
        </is>
      </c>
      <c r="D30" s="30" t="n">
        <v>0</v>
      </c>
    </row>
    <row r="31">
      <c r="B31" s="10" t="inlineStr">
        <is>
          <t>Gross receivables (from Aging)</t>
        </is>
      </c>
      <c r="D31" s="31">
        <f>Aging!G11</f>
        <v/>
      </c>
    </row>
    <row r="32">
      <c r="B32" s="10" t="inlineStr">
        <is>
          <t>Allowance for doubtful receivables (from Aging)</t>
        </is>
      </c>
      <c r="D32" s="31">
        <f>Aging!D22</f>
        <v/>
      </c>
    </row>
    <row r="33">
      <c r="B33" s="10" t="inlineStr">
        <is>
          <t>Net receivables (must equal D8)</t>
        </is>
      </c>
      <c r="D33" s="31">
        <f>D31-D32</f>
        <v/>
      </c>
    </row>
    <row r="34">
      <c r="B34" s="10" t="inlineStr">
        <is>
          <t>Interest-bearing debt (overdraft and term loan)</t>
        </is>
      </c>
      <c r="D34" s="31">
        <f>D17+D18+D20</f>
        <v/>
      </c>
    </row>
    <row r="35"/>
    <row r="36">
      <c r="B36" s="4" t="inlineStr">
        <is>
          <t>Statement of changes in equity</t>
        </is>
      </c>
    </row>
    <row r="37">
      <c r="B37" s="10" t="inlineStr">
        <is>
          <t>Opening equity</t>
        </is>
      </c>
      <c r="D37" s="31">
        <f>C25</f>
        <v/>
      </c>
    </row>
    <row r="38">
      <c r="B38" s="10" t="inlineStr">
        <is>
          <t>Add: profit for the period</t>
        </is>
      </c>
      <c r="D38" s="31">
        <f>IS!C29</f>
        <v/>
      </c>
    </row>
    <row r="39">
      <c r="B39" s="10" t="inlineStr">
        <is>
          <t>Less: dividends</t>
        </is>
      </c>
      <c r="D39" s="31">
        <f>-D30</f>
        <v/>
      </c>
    </row>
    <row r="40">
      <c r="B40" s="9" t="inlineStr">
        <is>
          <t>Closing equity</t>
        </is>
      </c>
      <c r="D40" s="41">
        <f>SUM(D37:D39)</f>
        <v/>
      </c>
    </row>
    <row r="41">
      <c r="B41" s="9" t="inlineStr">
        <is>
          <t>Check: closing equity minus D25</t>
        </is>
      </c>
      <c r="D41" s="41">
        <f>D40-D25</f>
        <v/>
      </c>
    </row>
    <row r="42"/>
    <row r="43" ht="22" customHeight="1">
      <c r="A43" s="11" t="inlineStr">
        <is>
          <t>Investopia Academy · A platform by Erudite Africa Investments PLC · investopia.et</t>
        </is>
      </c>
      <c r="B43" s="12" t="n"/>
      <c r="C43" s="12" t="n"/>
      <c r="D43" s="12" t="n"/>
      <c r="E43" s="12" t="n"/>
    </row>
  </sheetData>
  <mergeCells count="1">
    <mergeCell ref="A43:E43"/>
  </mergeCells>
  <conditionalFormatting sqref="C27:D27">
    <cfRule type="expression" priority="1" dxfId="0">
      <formula>AND(ISNUMBER(C27),ABS(C27)&gt;0.005)</formula>
    </cfRule>
    <cfRule type="expression" priority="2" dxfId="1">
      <formula>AND(ISNUMBER(C27),ABS(C27)&lt;=0.005)</formula>
    </cfRule>
  </conditionalFormatting>
  <conditionalFormatting sqref="D41">
    <cfRule type="expression" priority="3" dxfId="0">
      <formula>AND(ISNUMBER(D41),ABS(D41)&gt;0.005)</formula>
    </cfRule>
    <cfRule type="expression" priority="4" dxfId="1">
      <formula>AND(ISNUMBER(D41),ABS(D41)&lt;=0.005)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8.xml><?xml version="1.0" encoding="utf-8"?>
<worksheet xmlns="http://schemas.openxmlformats.org/spreadsheetml/2006/main">
  <sheetPr>
    <tabColor rgb="000F4C3A"/>
    <outlinePr summaryBelow="1" summaryRight="1"/>
    <pageSetUpPr fitToPage="1"/>
  </sheetPr>
  <dimension ref="A1:E4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62" customWidth="1" min="2" max="2"/>
    <col width="16" customWidth="1" min="3" max="3"/>
    <col width="16" customWidth="1" min="4" max="4"/>
    <col width="44" customWidth="1" min="5" max="5"/>
  </cols>
  <sheetData>
    <row r="1" ht="26" customHeight="1">
      <c r="A1" s="34">
        <f>Settings!C2&amp;": statement of cash flows (indirect method)"</f>
        <v/>
      </c>
      <c r="B1" s="2" t="n"/>
      <c r="C1" s="2" t="n"/>
      <c r="D1" s="2" t="n"/>
      <c r="E1" s="2" t="n"/>
    </row>
    <row r="2">
      <c r="A2" s="35">
        <f>"Current month: "&amp;Settings!C4&amp;". All lines are formulas from IS and BS."</f>
        <v/>
      </c>
    </row>
    <row r="3"/>
    <row r="4"/>
    <row r="5" ht="20" customHeight="1">
      <c r="B5" s="7" t="inlineStr">
        <is>
          <t>Line</t>
        </is>
      </c>
      <c r="C5" s="7" t="inlineStr">
        <is>
          <t>Current month</t>
        </is>
      </c>
      <c r="D5" s="7" t="inlineStr">
        <is>
          <t>Override (input)</t>
        </is>
      </c>
      <c r="E5" s="7" t="inlineStr">
        <is>
          <t>Formula</t>
        </is>
      </c>
    </row>
    <row r="6">
      <c r="B6" s="10" t="inlineStr">
        <is>
          <t>Profit before tax</t>
        </is>
      </c>
      <c r="C6" s="31">
        <f>IS!C27</f>
        <v/>
      </c>
      <c r="E6" s="14" t="inlineStr">
        <is>
          <t>IS!C27</t>
        </is>
      </c>
    </row>
    <row r="7">
      <c r="B7" s="10" t="inlineStr">
        <is>
          <t>Add: depreciation</t>
        </is>
      </c>
      <c r="C7" s="31">
        <f>IS!C15+IS!C22</f>
        <v/>
      </c>
      <c r="E7" s="14" t="inlineStr">
        <is>
          <t>factory + vehicles and office</t>
        </is>
      </c>
    </row>
    <row r="8">
      <c r="B8" s="10" t="inlineStr">
        <is>
          <t>Add: finance costs</t>
        </is>
      </c>
      <c r="C8" s="31">
        <f>IS!C26</f>
        <v/>
      </c>
      <c r="E8" s="14" t="inlineStr">
        <is>
          <t>IS!C26</t>
        </is>
      </c>
    </row>
    <row r="9">
      <c r="B9" s="10" t="inlineStr">
        <is>
          <t>(Increase) / decrease in trade receivables</t>
        </is>
      </c>
      <c r="C9" s="31">
        <f>BS!C8-BS!D8</f>
        <v/>
      </c>
      <c r="E9" s="14" t="inlineStr">
        <is>
          <t>opening minus closing</t>
        </is>
      </c>
    </row>
    <row r="10">
      <c r="B10" s="10" t="inlineStr">
        <is>
          <t>(Increase) / decrease in inventory</t>
        </is>
      </c>
      <c r="C10" s="31">
        <f>BS!C7-BS!D7</f>
        <v/>
      </c>
      <c r="E10" s="14" t="inlineStr">
        <is>
          <t>opening minus closing</t>
        </is>
      </c>
    </row>
    <row r="11">
      <c r="B11" s="10" t="inlineStr">
        <is>
          <t>(Increase) / decrease in prepayments</t>
        </is>
      </c>
      <c r="C11" s="31">
        <f>BS!C9-BS!D9</f>
        <v/>
      </c>
      <c r="E11" s="14" t="inlineStr">
        <is>
          <t>opening minus closing</t>
        </is>
      </c>
    </row>
    <row r="12">
      <c r="B12" s="10" t="inlineStr">
        <is>
          <t>Increase / (decrease) in trade payables</t>
        </is>
      </c>
      <c r="C12" s="31">
        <f>BS!D14-BS!C14</f>
        <v/>
      </c>
      <c r="E12" s="14" t="inlineStr">
        <is>
          <t>closing minus opening</t>
        </is>
      </c>
    </row>
    <row r="13">
      <c r="B13" s="10" t="inlineStr">
        <is>
          <t>Increase / (decrease) in VAT, PAYE, pension and withholding payable</t>
        </is>
      </c>
      <c r="C13" s="31">
        <f>BS!D15-BS!C15</f>
        <v/>
      </c>
      <c r="E13" s="14" t="inlineStr">
        <is>
          <t>closing minus opening</t>
        </is>
      </c>
    </row>
    <row r="14">
      <c r="B14" s="9" t="inlineStr">
        <is>
          <t>Cash generated from operations</t>
        </is>
      </c>
      <c r="C14" s="41">
        <f>SUM(C6:C13)</f>
        <v/>
      </c>
      <c r="E14" s="14" t="inlineStr">
        <is>
          <t>sum</t>
        </is>
      </c>
    </row>
    <row r="15" ht="33" customHeight="1">
      <c r="B15" s="10" t="inlineStr">
        <is>
          <t>Interest paid</t>
        </is>
      </c>
      <c r="C15" s="31">
        <f>-IF(D15="",IS!C26,D15)</f>
        <v/>
      </c>
      <c r="D15" s="30" t="n"/>
      <c r="E15" s="14" t="inlineStr">
        <is>
          <t>finance costs, or the override in D15 if interest is accrued</t>
        </is>
      </c>
    </row>
    <row r="16">
      <c r="B16" s="10" t="inlineStr">
        <is>
          <t>Income tax paid</t>
        </is>
      </c>
      <c r="C16" s="31">
        <f>-(BS!C16+IS!C28-BS!D16)</f>
        <v/>
      </c>
      <c r="E16" s="14" t="inlineStr">
        <is>
          <t>opening payable + tax charge - closing payable</t>
        </is>
      </c>
    </row>
    <row r="17">
      <c r="B17" s="9" t="inlineStr">
        <is>
          <t>Net cash from operating activities</t>
        </is>
      </c>
      <c r="C17" s="41">
        <f>SUM(C14:C16)</f>
        <v/>
      </c>
      <c r="E17" s="14" t="inlineStr">
        <is>
          <t>sum</t>
        </is>
      </c>
    </row>
    <row r="18">
      <c r="B18" s="10" t="inlineStr">
        <is>
          <t>Purchase of property, plant and equipment</t>
        </is>
      </c>
      <c r="C18" s="31">
        <f>-(BS!D6-BS!C6+IS!C15+IS!C22)</f>
        <v/>
      </c>
      <c r="E18" s="14" t="inlineStr">
        <is>
          <t>change in PPE plus depreciation</t>
        </is>
      </c>
    </row>
    <row r="19">
      <c r="B19" s="9" t="inlineStr">
        <is>
          <t>Net cash from investing activities</t>
        </is>
      </c>
      <c r="C19" s="41">
        <f>C18</f>
        <v/>
      </c>
      <c r="E19" s="14" t="inlineStr"/>
    </row>
    <row r="20">
      <c r="B20" s="10" t="inlineStr">
        <is>
          <t>Overdraft drawn / (repaid)</t>
        </is>
      </c>
      <c r="C20" s="31">
        <f>BS!D17-BS!C17</f>
        <v/>
      </c>
      <c r="E20" s="14" t="inlineStr"/>
    </row>
    <row r="21">
      <c r="B21" s="10" t="inlineStr">
        <is>
          <t>Term loan repaid</t>
        </is>
      </c>
      <c r="C21" s="31">
        <f>(BS!D18+BS!D20)-(BS!C18+BS!C20)</f>
        <v/>
      </c>
      <c r="E21" s="14" t="inlineStr"/>
    </row>
    <row r="22">
      <c r="B22" s="10" t="inlineStr">
        <is>
          <t>Dividends paid</t>
        </is>
      </c>
      <c r="C22" s="31">
        <f>-BS!D30</f>
        <v/>
      </c>
      <c r="E22" s="14" t="inlineStr">
        <is>
          <t>dividends declared in the month (BS memo)</t>
        </is>
      </c>
    </row>
    <row r="23">
      <c r="B23" s="9" t="inlineStr">
        <is>
          <t>Net cash from financing activities</t>
        </is>
      </c>
      <c r="C23" s="41">
        <f>SUM(C20:C22)</f>
        <v/>
      </c>
      <c r="E23" s="14" t="inlineStr"/>
    </row>
    <row r="24">
      <c r="B24" s="9" t="inlineStr">
        <is>
          <t>Net change in cash</t>
        </is>
      </c>
      <c r="C24" s="41">
        <f>C17+C19+C23</f>
        <v/>
      </c>
      <c r="E24" s="14" t="inlineStr"/>
    </row>
    <row r="25">
      <c r="B25" s="10" t="inlineStr">
        <is>
          <t>Opening cash</t>
        </is>
      </c>
      <c r="C25" s="31">
        <f>BS!C10</f>
        <v/>
      </c>
      <c r="E25" s="14" t="inlineStr">
        <is>
          <t>BS!C10</t>
        </is>
      </c>
    </row>
    <row r="26">
      <c r="B26" s="9" t="inlineStr">
        <is>
          <t>Closing cash</t>
        </is>
      </c>
      <c r="C26" s="41">
        <f>C25+C24</f>
        <v/>
      </c>
      <c r="E26" s="14" t="inlineStr"/>
    </row>
    <row r="27">
      <c r="B27" s="9" t="inlineStr">
        <is>
          <t>Check: closing cash minus BS!D10</t>
        </is>
      </c>
      <c r="C27" s="41">
        <f>C26-BS!D10</f>
        <v/>
      </c>
      <c r="E27" s="14" t="inlineStr">
        <is>
          <t>must be 0</t>
        </is>
      </c>
    </row>
    <row r="28"/>
    <row r="29">
      <c r="B29" s="4" t="inlineStr">
        <is>
          <t>Profit to cash bridge (for the owner)</t>
        </is>
      </c>
    </row>
    <row r="30">
      <c r="B30" s="10" t="inlineStr">
        <is>
          <t>Profit for the month</t>
        </is>
      </c>
      <c r="C30" s="31">
        <f>IS!C29</f>
        <v/>
      </c>
    </row>
    <row r="31">
      <c r="B31" s="10" t="inlineStr">
        <is>
          <t>Add: tax accrued, not paid</t>
        </is>
      </c>
      <c r="C31" s="31">
        <f>IS!C28+C16</f>
        <v/>
      </c>
    </row>
    <row r="32">
      <c r="B32" s="10" t="inlineStr">
        <is>
          <t>Add: interest accrued, not paid</t>
        </is>
      </c>
      <c r="C32" s="31">
        <f>IS!C26+C15</f>
        <v/>
      </c>
    </row>
    <row r="33">
      <c r="B33" s="10" t="inlineStr">
        <is>
          <t>Add: depreciation</t>
        </is>
      </c>
      <c r="C33" s="31">
        <f>C7</f>
        <v/>
      </c>
    </row>
    <row r="34">
      <c r="B34" s="10" t="inlineStr">
        <is>
          <t>Working capital</t>
        </is>
      </c>
      <c r="C34" s="31">
        <f>SUM(C9:C13)</f>
        <v/>
      </c>
    </row>
    <row r="35">
      <c r="B35" s="9" t="inlineStr">
        <is>
          <t>Cash from operations</t>
        </is>
      </c>
      <c r="C35" s="41">
        <f>SUM(C30:C34)</f>
        <v/>
      </c>
    </row>
    <row r="36">
      <c r="B36" s="10" t="inlineStr">
        <is>
          <t>Machine and other capital purchases</t>
        </is>
      </c>
      <c r="C36" s="31">
        <f>C19</f>
        <v/>
      </c>
    </row>
    <row r="37">
      <c r="B37" s="10" t="inlineStr">
        <is>
          <t>Overdraft and loan, net</t>
        </is>
      </c>
      <c r="C37" s="31">
        <f>C23</f>
        <v/>
      </c>
    </row>
    <row r="38">
      <c r="B38" s="9" t="inlineStr">
        <is>
          <t>Change in cash</t>
        </is>
      </c>
      <c r="C38" s="41">
        <f>C35+C36+C37</f>
        <v/>
      </c>
    </row>
    <row r="39">
      <c r="B39" s="9" t="inlineStr">
        <is>
          <t>Check: bridge minus net change in cash</t>
        </is>
      </c>
      <c r="C39" s="41">
        <f>C38-C24</f>
        <v/>
      </c>
    </row>
    <row r="40"/>
    <row r="41" ht="22" customHeight="1">
      <c r="A41" s="11" t="inlineStr">
        <is>
          <t>Investopia Academy · A platform by Erudite Africa Investments PLC · investopia.et</t>
        </is>
      </c>
      <c r="B41" s="12" t="n"/>
      <c r="C41" s="12" t="n"/>
      <c r="D41" s="12" t="n"/>
      <c r="E41" s="12" t="n"/>
    </row>
  </sheetData>
  <mergeCells count="1">
    <mergeCell ref="A41:E41"/>
  </mergeCells>
  <conditionalFormatting sqref="C27">
    <cfRule type="expression" priority="1" dxfId="0">
      <formula>AND(ISNUMBER(C27),ABS(C27)&gt;0.005)</formula>
    </cfRule>
    <cfRule type="expression" priority="2" dxfId="1">
      <formula>AND(ISNUMBER(C27),ABS(C27)&lt;=0.005)</formula>
    </cfRule>
  </conditionalFormatting>
  <conditionalFormatting sqref="C39">
    <cfRule type="expression" priority="3" dxfId="0">
      <formula>AND(ISNUMBER(C39),ABS(C39)&gt;0.005)</formula>
    </cfRule>
    <cfRule type="expression" priority="4" dxfId="1">
      <formula>AND(ISNUMBER(C39),ABS(C39)&lt;=0.005)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9.xml><?xml version="1.0" encoding="utf-8"?>
<worksheet xmlns="http://schemas.openxmlformats.org/spreadsheetml/2006/main">
  <sheetPr>
    <tabColor rgb="000F4C3A"/>
    <outlinePr summaryBelow="1" summaryRight="1"/>
    <pageSetUpPr fitToPage="1"/>
  </sheetPr>
  <dimension ref="A1:P4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 customWidth="1" min="1" max="1"/>
    <col width="46" customWidth="1" min="2" max="2"/>
    <col width="44"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s>
  <sheetData>
    <row r="1" ht="26" customHeight="1">
      <c r="A1" s="1" t="inlineStr">
        <is>
          <t>13-week cash forecast (Birr)</t>
        </is>
      </c>
      <c r="B1" s="2" t="n"/>
      <c r="C1" s="2" t="n"/>
      <c r="D1" s="2" t="n"/>
      <c r="E1" s="2" t="n"/>
      <c r="F1" s="2" t="n"/>
      <c r="G1" s="2" t="n"/>
      <c r="H1" s="2" t="n"/>
      <c r="I1" s="2" t="n"/>
      <c r="J1" s="2" t="n"/>
      <c r="K1" s="2" t="n"/>
      <c r="L1" s="2" t="n"/>
      <c r="M1" s="2" t="n"/>
      <c r="N1" s="2" t="n"/>
      <c r="O1" s="2" t="n"/>
      <c r="P1" s="2" t="n"/>
    </row>
    <row r="2">
      <c r="A2" s="23" t="inlineStr">
        <is>
          <t>Inputs in rows 5, 7, 8 and 10 to 19. Settings!C12 = "Yes" includes the planned action rows (8 and 11) and the overdraft increase. Update every Monday.</t>
        </is>
      </c>
    </row>
    <row r="3"/>
    <row r="4" ht="20" customHeight="1">
      <c r="B4" s="7" t="inlineStr">
        <is>
          <t>Week</t>
        </is>
      </c>
      <c r="C4" s="7" t="inlineStr">
        <is>
          <t>Notes</t>
        </is>
      </c>
      <c r="D4" s="7" t="n">
        <v>1</v>
      </c>
      <c r="E4" s="7" t="n">
        <v>2</v>
      </c>
      <c r="F4" s="7" t="n">
        <v>3</v>
      </c>
      <c r="G4" s="7" t="n">
        <v>4</v>
      </c>
      <c r="H4" s="7" t="n">
        <v>5</v>
      </c>
      <c r="I4" s="7" t="n">
        <v>6</v>
      </c>
      <c r="J4" s="7" t="n">
        <v>7</v>
      </c>
      <c r="K4" s="7" t="n">
        <v>8</v>
      </c>
      <c r="L4" s="7" t="n">
        <v>9</v>
      </c>
      <c r="M4" s="7" t="n">
        <v>10</v>
      </c>
      <c r="N4" s="7" t="n">
        <v>11</v>
      </c>
      <c r="O4" s="7" t="n">
        <v>12</v>
      </c>
      <c r="P4" s="7" t="n">
        <v>13</v>
      </c>
    </row>
    <row r="5">
      <c r="B5" s="10" t="inlineStr">
        <is>
          <t>Week starting</t>
        </is>
      </c>
      <c r="C5" s="8" t="n"/>
      <c r="D5" s="26" t="n">
        <v>46306</v>
      </c>
      <c r="E5" s="26" t="n">
        <v>46313</v>
      </c>
      <c r="F5" s="26" t="n">
        <v>46320</v>
      </c>
      <c r="G5" s="26" t="n">
        <v>46327</v>
      </c>
      <c r="H5" s="26" t="n">
        <v>46334</v>
      </c>
      <c r="I5" s="26" t="n">
        <v>46341</v>
      </c>
      <c r="J5" s="26" t="n">
        <v>46348</v>
      </c>
      <c r="K5" s="26" t="n">
        <v>46355</v>
      </c>
      <c r="L5" s="26" t="n">
        <v>46362</v>
      </c>
      <c r="M5" s="26" t="n">
        <v>46369</v>
      </c>
      <c r="N5" s="26" t="n">
        <v>46376</v>
      </c>
      <c r="O5" s="26" t="n">
        <v>46383</v>
      </c>
      <c r="P5" s="26" t="n">
        <v>46390</v>
      </c>
    </row>
    <row r="6" ht="33" customHeight="1">
      <c r="B6" s="9" t="inlineStr">
        <is>
          <t>Opening cash</t>
        </is>
      </c>
      <c r="C6" s="14" t="inlineStr">
        <is>
          <t>Week 1 = BS!D10 (closing cash at end of Meskerem); later weeks = previous closing cash.</t>
        </is>
      </c>
      <c r="D6" s="31">
        <f>BS!D10</f>
        <v/>
      </c>
      <c r="E6" s="31">
        <f>D21</f>
        <v/>
      </c>
      <c r="F6" s="31">
        <f>E21</f>
        <v/>
      </c>
      <c r="G6" s="31">
        <f>F21</f>
        <v/>
      </c>
      <c r="H6" s="31">
        <f>G21</f>
        <v/>
      </c>
      <c r="I6" s="31">
        <f>H21</f>
        <v/>
      </c>
      <c r="J6" s="31">
        <f>I21</f>
        <v/>
      </c>
      <c r="K6" s="31">
        <f>J21</f>
        <v/>
      </c>
      <c r="L6" s="31">
        <f>K21</f>
        <v/>
      </c>
      <c r="M6" s="31">
        <f>L21</f>
        <v/>
      </c>
      <c r="N6" s="31">
        <f>M21</f>
        <v/>
      </c>
      <c r="O6" s="31">
        <f>N21</f>
        <v/>
      </c>
      <c r="P6" s="31">
        <f>O21</f>
        <v/>
      </c>
    </row>
    <row r="7">
      <c r="B7" s="10" t="inlineStr">
        <is>
          <t>Customer collections (base)</t>
        </is>
      </c>
      <c r="C7" s="8" t="n"/>
      <c r="D7" s="30" t="n">
        <v>1900000</v>
      </c>
      <c r="E7" s="30" t="n">
        <v>2000000</v>
      </c>
      <c r="F7" s="30" t="n">
        <v>2100000</v>
      </c>
      <c r="G7" s="30" t="n">
        <v>2200000</v>
      </c>
      <c r="H7" s="30" t="n">
        <v>2200000</v>
      </c>
      <c r="I7" s="30" t="n">
        <v>2200000</v>
      </c>
      <c r="J7" s="30" t="n">
        <v>2300000</v>
      </c>
      <c r="K7" s="30" t="n">
        <v>2300000</v>
      </c>
      <c r="L7" s="30" t="n">
        <v>2300000</v>
      </c>
      <c r="M7" s="30" t="n">
        <v>2400000</v>
      </c>
      <c r="N7" s="30" t="n">
        <v>2400000</v>
      </c>
      <c r="O7" s="30" t="n">
        <v>2400000</v>
      </c>
      <c r="P7" s="30" t="n">
        <v>2500000</v>
      </c>
    </row>
    <row r="8" ht="63" customHeight="1">
      <c r="B8" s="10" t="inlineStr">
        <is>
          <t>Planned extra collections (action)</t>
        </is>
      </c>
      <c r="C8" s="14" t="inlineStr">
        <is>
          <t>Action: Dessie Star installments (270,000 in weeks 2 and 4) and other over-60-day collections (Woldia Family Supermarket and Bati Road Wholesalers, 1,080,000 in total).</t>
        </is>
      </c>
      <c r="D8" s="30" t="n">
        <v>0</v>
      </c>
      <c r="E8" s="30" t="n">
        <v>300000</v>
      </c>
      <c r="F8" s="30" t="n">
        <v>300000</v>
      </c>
      <c r="G8" s="30" t="n">
        <v>400000</v>
      </c>
      <c r="H8" s="30" t="n">
        <v>0</v>
      </c>
      <c r="I8" s="30" t="n">
        <v>300000</v>
      </c>
      <c r="J8" s="30" t="n">
        <v>0</v>
      </c>
      <c r="K8" s="30" t="n">
        <v>320000</v>
      </c>
      <c r="L8" s="30" t="n">
        <v>0</v>
      </c>
      <c r="M8" s="30" t="n">
        <v>0</v>
      </c>
      <c r="N8" s="30" t="n">
        <v>0</v>
      </c>
      <c r="O8" s="30" t="n">
        <v>0</v>
      </c>
      <c r="P8" s="30" t="n">
        <v>0</v>
      </c>
    </row>
    <row r="9">
      <c r="B9" s="9" t="inlineStr">
        <is>
          <t>Total receipts</t>
        </is>
      </c>
      <c r="C9" s="8" t="n"/>
      <c r="D9" s="41">
        <f>D7+IF(Settings!$C$12="Yes",D8,0)</f>
        <v/>
      </c>
      <c r="E9" s="41">
        <f>E7+IF(Settings!$C$12="Yes",E8,0)</f>
        <v/>
      </c>
      <c r="F9" s="41">
        <f>F7+IF(Settings!$C$12="Yes",F8,0)</f>
        <v/>
      </c>
      <c r="G9" s="41">
        <f>G7+IF(Settings!$C$12="Yes",G8,0)</f>
        <v/>
      </c>
      <c r="H9" s="41">
        <f>H7+IF(Settings!$C$12="Yes",H8,0)</f>
        <v/>
      </c>
      <c r="I9" s="41">
        <f>I7+IF(Settings!$C$12="Yes",I8,0)</f>
        <v/>
      </c>
      <c r="J9" s="41">
        <f>J7+IF(Settings!$C$12="Yes",J8,0)</f>
        <v/>
      </c>
      <c r="K9" s="41">
        <f>K7+IF(Settings!$C$12="Yes",K8,0)</f>
        <v/>
      </c>
      <c r="L9" s="41">
        <f>L7+IF(Settings!$C$12="Yes",L8,0)</f>
        <v/>
      </c>
      <c r="M9" s="41">
        <f>M7+IF(Settings!$C$12="Yes",M8,0)</f>
        <v/>
      </c>
      <c r="N9" s="41">
        <f>N7+IF(Settings!$C$12="Yes",N8,0)</f>
        <v/>
      </c>
      <c r="O9" s="41">
        <f>O7+IF(Settings!$C$12="Yes",O8,0)</f>
        <v/>
      </c>
      <c r="P9" s="41">
        <f>P7+IF(Settings!$C$12="Yes",P8,0)</f>
        <v/>
      </c>
    </row>
    <row r="10">
      <c r="B10" s="10" t="inlineStr">
        <is>
          <t>Wheat purchases (base)</t>
        </is>
      </c>
      <c r="C10" s="8" t="n"/>
      <c r="D10" s="30" t="n">
        <v>1500000</v>
      </c>
      <c r="E10" s="30" t="n">
        <v>1700000</v>
      </c>
      <c r="F10" s="30" t="n">
        <v>1600000</v>
      </c>
      <c r="G10" s="30" t="n">
        <v>1600000</v>
      </c>
      <c r="H10" s="30" t="n">
        <v>1500000</v>
      </c>
      <c r="I10" s="30" t="n">
        <v>1600000</v>
      </c>
      <c r="J10" s="30" t="n">
        <v>1600000</v>
      </c>
      <c r="K10" s="30" t="n">
        <v>1600000</v>
      </c>
      <c r="L10" s="30" t="n">
        <v>1600000</v>
      </c>
      <c r="M10" s="30" t="n">
        <v>1600000</v>
      </c>
      <c r="N10" s="30" t="n">
        <v>1700000</v>
      </c>
      <c r="O10" s="30" t="n">
        <v>1600000</v>
      </c>
      <c r="P10" s="30" t="n">
        <v>1700000</v>
      </c>
    </row>
    <row r="11" ht="33" customHeight="1">
      <c r="B11" s="10" t="inlineStr">
        <is>
          <t>Wheat purchase reduction (action)</t>
        </is>
      </c>
      <c r="C11" s="14" t="inlineStr">
        <is>
          <t>Action: buy 100 quintals a week less forward wheat from week 5.</t>
        </is>
      </c>
      <c r="D11" s="30" t="n">
        <v>0</v>
      </c>
      <c r="E11" s="30" t="n">
        <v>0</v>
      </c>
      <c r="F11" s="30" t="n">
        <v>0</v>
      </c>
      <c r="G11" s="30" t="n">
        <v>0</v>
      </c>
      <c r="H11" s="30" t="n">
        <v>-100000</v>
      </c>
      <c r="I11" s="30" t="n">
        <v>-100000</v>
      </c>
      <c r="J11" s="30" t="n">
        <v>-100000</v>
      </c>
      <c r="K11" s="30" t="n">
        <v>-100000</v>
      </c>
      <c r="L11" s="30" t="n">
        <v>-100000</v>
      </c>
      <c r="M11" s="30" t="n">
        <v>-100000</v>
      </c>
      <c r="N11" s="30" t="n">
        <v>-100000</v>
      </c>
      <c r="O11" s="30" t="n">
        <v>-100000</v>
      </c>
      <c r="P11" s="30" t="n">
        <v>-100000</v>
      </c>
    </row>
    <row r="12">
      <c r="B12" s="10" t="inlineStr">
        <is>
          <t>Packaging</t>
        </is>
      </c>
      <c r="C12" s="8" t="n"/>
      <c r="D12" s="30" t="n">
        <v>100000</v>
      </c>
      <c r="E12" s="30" t="n">
        <v>100000</v>
      </c>
      <c r="F12" s="30" t="n">
        <v>100000</v>
      </c>
      <c r="G12" s="30" t="n">
        <v>100000</v>
      </c>
      <c r="H12" s="30" t="n">
        <v>100000</v>
      </c>
      <c r="I12" s="30" t="n">
        <v>100000</v>
      </c>
      <c r="J12" s="30" t="n">
        <v>100000</v>
      </c>
      <c r="K12" s="30" t="n">
        <v>100000</v>
      </c>
      <c r="L12" s="30" t="n">
        <v>100000</v>
      </c>
      <c r="M12" s="30" t="n">
        <v>100000</v>
      </c>
      <c r="N12" s="30" t="n">
        <v>100000</v>
      </c>
      <c r="O12" s="30" t="n">
        <v>100000</v>
      </c>
      <c r="P12" s="30" t="n">
        <v>100000</v>
      </c>
    </row>
    <row r="13">
      <c r="B13" s="10" t="inlineStr">
        <is>
          <t>Running costs (power, transport, rent, other)</t>
        </is>
      </c>
      <c r="C13" s="8" t="n"/>
      <c r="D13" s="30" t="n">
        <v>250000</v>
      </c>
      <c r="E13" s="30" t="n">
        <v>250000</v>
      </c>
      <c r="F13" s="30" t="n">
        <v>250000</v>
      </c>
      <c r="G13" s="30" t="n">
        <v>250000</v>
      </c>
      <c r="H13" s="30" t="n">
        <v>250000</v>
      </c>
      <c r="I13" s="30" t="n">
        <v>250000</v>
      </c>
      <c r="J13" s="30" t="n">
        <v>250000</v>
      </c>
      <c r="K13" s="30" t="n">
        <v>250000</v>
      </c>
      <c r="L13" s="30" t="n">
        <v>250000</v>
      </c>
      <c r="M13" s="30" t="n">
        <v>250000</v>
      </c>
      <c r="N13" s="30" t="n">
        <v>250000</v>
      </c>
      <c r="O13" s="30" t="n">
        <v>250000</v>
      </c>
      <c r="P13" s="30" t="n">
        <v>250000</v>
      </c>
    </row>
    <row r="14">
      <c r="B14" s="10" t="inlineStr">
        <is>
          <t>Payroll (net pay)</t>
        </is>
      </c>
      <c r="C14" s="14" t="inlineStr">
        <is>
          <t>Week 5 holds net payroll for Meskerem.</t>
        </is>
      </c>
      <c r="D14" s="30" t="n">
        <v>0</v>
      </c>
      <c r="E14" s="30" t="n">
        <v>0</v>
      </c>
      <c r="F14" s="30" t="n">
        <v>0</v>
      </c>
      <c r="G14" s="30" t="n">
        <v>0</v>
      </c>
      <c r="H14" s="30" t="n">
        <v>620000</v>
      </c>
      <c r="I14" s="30" t="n">
        <v>0</v>
      </c>
      <c r="J14" s="30" t="n">
        <v>0</v>
      </c>
      <c r="K14" s="30" t="n">
        <v>0</v>
      </c>
      <c r="L14" s="30" t="n">
        <v>640000</v>
      </c>
      <c r="M14" s="30" t="n">
        <v>0</v>
      </c>
      <c r="N14" s="30" t="n">
        <v>0</v>
      </c>
      <c r="O14" s="30" t="n">
        <v>0</v>
      </c>
      <c r="P14" s="30" t="n">
        <v>640000</v>
      </c>
    </row>
    <row r="15" ht="33" customHeight="1">
      <c r="B15" s="10" t="inlineStr">
        <is>
          <t>VAT, PAYE, pension and withholding</t>
        </is>
      </c>
      <c r="C15" s="14" t="inlineStr">
        <is>
          <t>Week 5: the Meskerem VAT, PAYE, pension and withholding (by the end of the following month).</t>
        </is>
      </c>
      <c r="D15" s="30" t="n">
        <v>0</v>
      </c>
      <c r="E15" s="30" t="n">
        <v>0</v>
      </c>
      <c r="F15" s="30" t="n">
        <v>0</v>
      </c>
      <c r="G15" s="30" t="n">
        <v>0</v>
      </c>
      <c r="H15" s="30" t="n">
        <v>820000</v>
      </c>
      <c r="I15" s="30" t="n">
        <v>0</v>
      </c>
      <c r="J15" s="30" t="n">
        <v>0</v>
      </c>
      <c r="K15" s="30" t="n">
        <v>0</v>
      </c>
      <c r="L15" s="30" t="n">
        <v>800000</v>
      </c>
      <c r="M15" s="30" t="n">
        <v>0</v>
      </c>
      <c r="N15" s="30" t="n">
        <v>0</v>
      </c>
      <c r="O15" s="30" t="n">
        <v>0</v>
      </c>
      <c r="P15" s="30" t="n">
        <v>800000</v>
      </c>
    </row>
    <row r="16" ht="33" customHeight="1">
      <c r="B16" s="10" t="inlineStr">
        <is>
          <t>Income tax: annual balance for 2025/26</t>
        </is>
      </c>
      <c r="C16" s="14" t="inlineStr">
        <is>
          <t>Week 5: the 2025/26 income tax balance, due with the annual return by Tikimt 30.</t>
        </is>
      </c>
      <c r="D16" s="30" t="n">
        <v>0</v>
      </c>
      <c r="E16" s="30" t="n">
        <v>0</v>
      </c>
      <c r="F16" s="30" t="n">
        <v>0</v>
      </c>
      <c r="G16" s="30" t="n">
        <v>0</v>
      </c>
      <c r="H16" s="30" t="n">
        <v>1100000</v>
      </c>
      <c r="I16" s="30" t="n">
        <v>0</v>
      </c>
      <c r="J16" s="30" t="n">
        <v>0</v>
      </c>
      <c r="K16" s="30" t="n">
        <v>0</v>
      </c>
      <c r="L16" s="30" t="n">
        <v>0</v>
      </c>
      <c r="M16" s="30" t="n">
        <v>0</v>
      </c>
      <c r="N16" s="30" t="n">
        <v>0</v>
      </c>
      <c r="O16" s="30" t="n">
        <v>0</v>
      </c>
      <c r="P16" s="30" t="n">
        <v>0</v>
      </c>
    </row>
    <row r="17" ht="48" customHeight="1">
      <c r="B17" s="10" t="inlineStr">
        <is>
          <t>Advance income tax (enter when timing is confirmed)</t>
        </is>
      </c>
      <c r="C17" s="14" t="inlineStr">
        <is>
          <t>Enter the quarterly advance tax (25% of last year's tax) in the week it falls due, once confirmed with your tax adviser.</t>
        </is>
      </c>
      <c r="D17" s="30" t="n">
        <v>0</v>
      </c>
      <c r="E17" s="30" t="n">
        <v>0</v>
      </c>
      <c r="F17" s="30" t="n">
        <v>0</v>
      </c>
      <c r="G17" s="30" t="n">
        <v>0</v>
      </c>
      <c r="H17" s="30" t="n">
        <v>0</v>
      </c>
      <c r="I17" s="30" t="n">
        <v>0</v>
      </c>
      <c r="J17" s="30" t="n">
        <v>0</v>
      </c>
      <c r="K17" s="30" t="n">
        <v>0</v>
      </c>
      <c r="L17" s="30" t="n">
        <v>0</v>
      </c>
      <c r="M17" s="30" t="n">
        <v>0</v>
      </c>
      <c r="N17" s="30" t="n">
        <v>0</v>
      </c>
      <c r="O17" s="30" t="n">
        <v>0</v>
      </c>
      <c r="P17" s="30" t="n">
        <v>0</v>
      </c>
    </row>
    <row r="18">
      <c r="B18" s="10" t="inlineStr">
        <is>
          <t>Loan principal and interest (Bank A)</t>
        </is>
      </c>
      <c r="C18" s="14" t="inlineStr">
        <is>
          <t>Week 5: Bank A loan installment.</t>
        </is>
      </c>
      <c r="D18" s="30" t="n">
        <v>0</v>
      </c>
      <c r="E18" s="30" t="n">
        <v>0</v>
      </c>
      <c r="F18" s="30" t="n">
        <v>0</v>
      </c>
      <c r="G18" s="30" t="n">
        <v>0</v>
      </c>
      <c r="H18" s="30" t="n">
        <v>280000</v>
      </c>
      <c r="I18" s="30" t="n">
        <v>0</v>
      </c>
      <c r="J18" s="30" t="n">
        <v>0</v>
      </c>
      <c r="K18" s="30" t="n">
        <v>0</v>
      </c>
      <c r="L18" s="30" t="n">
        <v>280000</v>
      </c>
      <c r="M18" s="30" t="n">
        <v>0</v>
      </c>
      <c r="N18" s="30" t="n">
        <v>0</v>
      </c>
      <c r="O18" s="30" t="n">
        <v>0</v>
      </c>
      <c r="P18" s="30" t="n">
        <v>280000</v>
      </c>
    </row>
    <row r="19">
      <c r="B19" s="10" t="inlineStr">
        <is>
          <t>Capital purchases</t>
        </is>
      </c>
      <c r="C19" s="8" t="n"/>
      <c r="D19" s="30" t="n">
        <v>0</v>
      </c>
      <c r="E19" s="30" t="n">
        <v>0</v>
      </c>
      <c r="F19" s="30" t="n">
        <v>0</v>
      </c>
      <c r="G19" s="30" t="n">
        <v>0</v>
      </c>
      <c r="H19" s="30" t="n">
        <v>0</v>
      </c>
      <c r="I19" s="30" t="n">
        <v>0</v>
      </c>
      <c r="J19" s="30" t="n">
        <v>0</v>
      </c>
      <c r="K19" s="30" t="n">
        <v>0</v>
      </c>
      <c r="L19" s="30" t="n">
        <v>0</v>
      </c>
      <c r="M19" s="30" t="n">
        <v>0</v>
      </c>
      <c r="N19" s="30" t="n">
        <v>0</v>
      </c>
      <c r="O19" s="30" t="n">
        <v>0</v>
      </c>
      <c r="P19" s="30" t="n">
        <v>0</v>
      </c>
    </row>
    <row r="20">
      <c r="B20" s="9" t="inlineStr">
        <is>
          <t>Total payments</t>
        </is>
      </c>
      <c r="C20" s="8" t="n"/>
      <c r="D20" s="41">
        <f>D10+IF(Settings!$C$12="Yes",D11,0)+SUM(D12:D19)</f>
        <v/>
      </c>
      <c r="E20" s="41">
        <f>E10+IF(Settings!$C$12="Yes",E11,0)+SUM(E12:E19)</f>
        <v/>
      </c>
      <c r="F20" s="41">
        <f>F10+IF(Settings!$C$12="Yes",F11,0)+SUM(F12:F19)</f>
        <v/>
      </c>
      <c r="G20" s="41">
        <f>G10+IF(Settings!$C$12="Yes",G11,0)+SUM(G12:G19)</f>
        <v/>
      </c>
      <c r="H20" s="41">
        <f>H10+IF(Settings!$C$12="Yes",H11,0)+SUM(H12:H19)</f>
        <v/>
      </c>
      <c r="I20" s="41">
        <f>I10+IF(Settings!$C$12="Yes",I11,0)+SUM(I12:I19)</f>
        <v/>
      </c>
      <c r="J20" s="41">
        <f>J10+IF(Settings!$C$12="Yes",J11,0)+SUM(J12:J19)</f>
        <v/>
      </c>
      <c r="K20" s="41">
        <f>K10+IF(Settings!$C$12="Yes",K11,0)+SUM(K12:K19)</f>
        <v/>
      </c>
      <c r="L20" s="41">
        <f>L10+IF(Settings!$C$12="Yes",L11,0)+SUM(L12:L19)</f>
        <v/>
      </c>
      <c r="M20" s="41">
        <f>M10+IF(Settings!$C$12="Yes",M11,0)+SUM(M12:M19)</f>
        <v/>
      </c>
      <c r="N20" s="41">
        <f>N10+IF(Settings!$C$12="Yes",N11,0)+SUM(N12:N19)</f>
        <v/>
      </c>
      <c r="O20" s="41">
        <f>O10+IF(Settings!$C$12="Yes",O11,0)+SUM(O12:O19)</f>
        <v/>
      </c>
      <c r="P20" s="41">
        <f>P10+IF(Settings!$C$12="Yes",P11,0)+SUM(P12:P19)</f>
        <v/>
      </c>
    </row>
    <row r="21">
      <c r="B21" s="9" t="inlineStr">
        <is>
          <t>Closing cash</t>
        </is>
      </c>
      <c r="C21" s="8" t="n"/>
      <c r="D21" s="41">
        <f>D6+D9-D20</f>
        <v/>
      </c>
      <c r="E21" s="41">
        <f>E6+E9-E20</f>
        <v/>
      </c>
      <c r="F21" s="41">
        <f>F6+F9-F20</f>
        <v/>
      </c>
      <c r="G21" s="41">
        <f>G6+G9-G20</f>
        <v/>
      </c>
      <c r="H21" s="41">
        <f>H6+H9-H20</f>
        <v/>
      </c>
      <c r="I21" s="41">
        <f>I6+I9-I20</f>
        <v/>
      </c>
      <c r="J21" s="41">
        <f>J6+J9-J20</f>
        <v/>
      </c>
      <c r="K21" s="41">
        <f>K6+K9-K20</f>
        <v/>
      </c>
      <c r="L21" s="41">
        <f>L6+L9-L20</f>
        <v/>
      </c>
      <c r="M21" s="41">
        <f>M6+M9-M20</f>
        <v/>
      </c>
      <c r="N21" s="41">
        <f>N6+N9-N20</f>
        <v/>
      </c>
      <c r="O21" s="41">
        <f>O6+O9-O20</f>
        <v/>
      </c>
      <c r="P21" s="41">
        <f>P6+P9-P20</f>
        <v/>
      </c>
    </row>
    <row r="22" ht="48" customHeight="1">
      <c r="B22" s="9" t="inlineStr">
        <is>
          <t>Headroom (closing cash plus unused overdraft)</t>
        </is>
      </c>
      <c r="C22" s="14" t="inlineStr">
        <is>
          <t>Closing cash + overdraft limit + approved increase (from the week in Settings!C20, if actions are included) - overdraft already drawn.</t>
        </is>
      </c>
      <c r="D22" s="41">
        <f>D21+Settings!$C$9+IF(AND(Settings!$C$12="Yes",D$4&gt;=Settings!$C$20),Settings!$C$13,0)-Settings!$C$19</f>
        <v/>
      </c>
      <c r="E22" s="41">
        <f>E21+Settings!$C$9+IF(AND(Settings!$C$12="Yes",E$4&gt;=Settings!$C$20),Settings!$C$13,0)-Settings!$C$19</f>
        <v/>
      </c>
      <c r="F22" s="41">
        <f>F21+Settings!$C$9+IF(AND(Settings!$C$12="Yes",F$4&gt;=Settings!$C$20),Settings!$C$13,0)-Settings!$C$19</f>
        <v/>
      </c>
      <c r="G22" s="41">
        <f>G21+Settings!$C$9+IF(AND(Settings!$C$12="Yes",G$4&gt;=Settings!$C$20),Settings!$C$13,0)-Settings!$C$19</f>
        <v/>
      </c>
      <c r="H22" s="41">
        <f>H21+Settings!$C$9+IF(AND(Settings!$C$12="Yes",H$4&gt;=Settings!$C$20),Settings!$C$13,0)-Settings!$C$19</f>
        <v/>
      </c>
      <c r="I22" s="41">
        <f>I21+Settings!$C$9+IF(AND(Settings!$C$12="Yes",I$4&gt;=Settings!$C$20),Settings!$C$13,0)-Settings!$C$19</f>
        <v/>
      </c>
      <c r="J22" s="41">
        <f>J21+Settings!$C$9+IF(AND(Settings!$C$12="Yes",J$4&gt;=Settings!$C$20),Settings!$C$13,0)-Settings!$C$19</f>
        <v/>
      </c>
      <c r="K22" s="41">
        <f>K21+Settings!$C$9+IF(AND(Settings!$C$12="Yes",K$4&gt;=Settings!$C$20),Settings!$C$13,0)-Settings!$C$19</f>
        <v/>
      </c>
      <c r="L22" s="41">
        <f>L21+Settings!$C$9+IF(AND(Settings!$C$12="Yes",L$4&gt;=Settings!$C$20),Settings!$C$13,0)-Settings!$C$19</f>
        <v/>
      </c>
      <c r="M22" s="41">
        <f>M21+Settings!$C$9+IF(AND(Settings!$C$12="Yes",M$4&gt;=Settings!$C$20),Settings!$C$13,0)-Settings!$C$19</f>
        <v/>
      </c>
      <c r="N22" s="41">
        <f>N21+Settings!$C$9+IF(AND(Settings!$C$12="Yes",N$4&gt;=Settings!$C$20),Settings!$C$13,0)-Settings!$C$19</f>
        <v/>
      </c>
      <c r="O22" s="41">
        <f>O21+Settings!$C$9+IF(AND(Settings!$C$12="Yes",O$4&gt;=Settings!$C$20),Settings!$C$13,0)-Settings!$C$19</f>
        <v/>
      </c>
      <c r="P22" s="41">
        <f>P21+Settings!$C$9+IF(AND(Settings!$C$12="Yes",P$4&gt;=Settings!$C$20),Settings!$C$13,0)-Settings!$C$19</f>
        <v/>
      </c>
    </row>
    <row r="23">
      <c r="B23" s="9" t="inlineStr">
        <is>
          <t>Closing cash, base case</t>
        </is>
      </c>
      <c r="C23" s="14" t="inlineStr">
        <is>
          <t>Ignores the action rows and the overdraft increase.</t>
        </is>
      </c>
      <c r="D23" s="31">
        <f>BS!D10+D7-(D10+SUM(D12:D19))</f>
        <v/>
      </c>
      <c r="E23" s="31">
        <f>D23+E7-(E10+SUM(E12:E19))</f>
        <v/>
      </c>
      <c r="F23" s="31">
        <f>E23+F7-(F10+SUM(F12:F19))</f>
        <v/>
      </c>
      <c r="G23" s="31">
        <f>F23+G7-(G10+SUM(G12:G19))</f>
        <v/>
      </c>
      <c r="H23" s="31">
        <f>G23+H7-(H10+SUM(H12:H19))</f>
        <v/>
      </c>
      <c r="I23" s="31">
        <f>H23+I7-(I10+SUM(I12:I19))</f>
        <v/>
      </c>
      <c r="J23" s="31">
        <f>I23+J7-(J10+SUM(J12:J19))</f>
        <v/>
      </c>
      <c r="K23" s="31">
        <f>J23+K7-(K10+SUM(K12:K19))</f>
        <v/>
      </c>
      <c r="L23" s="31">
        <f>K23+L7-(L10+SUM(L12:L19))</f>
        <v/>
      </c>
      <c r="M23" s="31">
        <f>L23+M7-(M10+SUM(M12:M19))</f>
        <v/>
      </c>
      <c r="N23" s="31">
        <f>M23+N7-(N10+SUM(N12:N19))</f>
        <v/>
      </c>
      <c r="O23" s="31">
        <f>N23+O7-(O10+SUM(O12:O19))</f>
        <v/>
      </c>
      <c r="P23" s="31">
        <f>O23+P7-(P10+SUM(P12:P19))</f>
        <v/>
      </c>
    </row>
    <row r="24" ht="33" customHeight="1">
      <c r="B24" s="9" t="inlineStr">
        <is>
          <t>Headroom, base case</t>
        </is>
      </c>
      <c r="C24" s="14" t="inlineStr">
        <is>
          <t>Closing cash, base case + overdraft limit - overdraft already drawn.</t>
        </is>
      </c>
      <c r="D24" s="31">
        <f>D23+Settings!$C$9-Settings!$C$19</f>
        <v/>
      </c>
      <c r="E24" s="31">
        <f>E23+Settings!$C$9-Settings!$C$19</f>
        <v/>
      </c>
      <c r="F24" s="31">
        <f>F23+Settings!$C$9-Settings!$C$19</f>
        <v/>
      </c>
      <c r="G24" s="31">
        <f>G23+Settings!$C$9-Settings!$C$19</f>
        <v/>
      </c>
      <c r="H24" s="31">
        <f>H23+Settings!$C$9-Settings!$C$19</f>
        <v/>
      </c>
      <c r="I24" s="31">
        <f>I23+Settings!$C$9-Settings!$C$19</f>
        <v/>
      </c>
      <c r="J24" s="31">
        <f>J23+Settings!$C$9-Settings!$C$19</f>
        <v/>
      </c>
      <c r="K24" s="31">
        <f>K23+Settings!$C$9-Settings!$C$19</f>
        <v/>
      </c>
      <c r="L24" s="31">
        <f>L23+Settings!$C$9-Settings!$C$19</f>
        <v/>
      </c>
      <c r="M24" s="31">
        <f>M23+Settings!$C$9-Settings!$C$19</f>
        <v/>
      </c>
      <c r="N24" s="31">
        <f>N23+Settings!$C$9-Settings!$C$19</f>
        <v/>
      </c>
      <c r="O24" s="31">
        <f>O23+Settings!$C$9-Settings!$C$19</f>
        <v/>
      </c>
      <c r="P24" s="31">
        <f>P23+Settings!$C$9-Settings!$C$19</f>
        <v/>
      </c>
    </row>
    <row r="25">
      <c r="B25" s="10" t="inlineStr">
        <is>
          <t>Zero line (for the chart)</t>
        </is>
      </c>
      <c r="C25" s="8" t="n"/>
      <c r="D25" s="31">
        <f>0</f>
        <v/>
      </c>
      <c r="E25" s="31">
        <f>0</f>
        <v/>
      </c>
      <c r="F25" s="31">
        <f>0</f>
        <v/>
      </c>
      <c r="G25" s="31">
        <f>0</f>
        <v/>
      </c>
      <c r="H25" s="31">
        <f>0</f>
        <v/>
      </c>
      <c r="I25" s="31">
        <f>0</f>
        <v/>
      </c>
      <c r="J25" s="31">
        <f>0</f>
        <v/>
      </c>
      <c r="K25" s="31">
        <f>0</f>
        <v/>
      </c>
      <c r="L25" s="31">
        <f>0</f>
        <v/>
      </c>
      <c r="M25" s="31">
        <f>0</f>
        <v/>
      </c>
      <c r="N25" s="31">
        <f>0</f>
        <v/>
      </c>
      <c r="O25" s="31">
        <f>0</f>
        <v/>
      </c>
      <c r="P25" s="31">
        <f>0</f>
        <v/>
      </c>
    </row>
    <row r="26"/>
    <row r="27">
      <c r="B27" s="4" t="inlineStr">
        <is>
          <t>Summary</t>
        </is>
      </c>
    </row>
    <row r="28">
      <c r="B28" s="9" t="inlineStr">
        <is>
          <t>Lowest headroom with actions</t>
        </is>
      </c>
      <c r="D28" s="41">
        <f>MIN(D22:P22)</f>
        <v/>
      </c>
      <c r="E28" s="10" t="inlineStr">
        <is>
          <t>week</t>
        </is>
      </c>
      <c r="F28" s="43">
        <f>INDEX(D4:P4,MATCH(D28,D22:P22,0))</f>
        <v/>
      </c>
    </row>
    <row r="29">
      <c r="B29" s="9" t="inlineStr">
        <is>
          <t>Lowest headroom, base case</t>
        </is>
      </c>
      <c r="D29" s="41">
        <f>MIN(D24:P24)</f>
        <v/>
      </c>
      <c r="E29" s="10" t="inlineStr">
        <is>
          <t>week</t>
        </is>
      </c>
      <c r="F29" s="43">
        <f>INDEX(D4:P4,MATCH(D29,D24:P24,0))</f>
        <v/>
      </c>
    </row>
    <row r="30"/>
    <row r="31"/>
    <row r="32"/>
    <row r="33"/>
    <row r="34"/>
    <row r="35"/>
    <row r="36"/>
    <row r="37"/>
    <row r="38"/>
    <row r="39"/>
    <row r="40"/>
    <row r="41"/>
    <row r="42"/>
    <row r="43"/>
    <row r="44"/>
    <row r="45"/>
    <row r="46"/>
    <row r="47"/>
    <row r="48"/>
    <row r="49" ht="22" customHeight="1">
      <c r="A49" s="11" t="inlineStr">
        <is>
          <t>Investopia Academy · A platform by Erudite Africa Investments PLC · investopia.et</t>
        </is>
      </c>
      <c r="B49" s="12" t="n"/>
      <c r="C49" s="12" t="n"/>
      <c r="D49" s="12" t="n"/>
      <c r="E49" s="12" t="n"/>
      <c r="F49" s="12" t="n"/>
      <c r="G49" s="12" t="n"/>
      <c r="H49" s="12" t="n"/>
      <c r="I49" s="12" t="n"/>
      <c r="J49" s="12" t="n"/>
      <c r="K49" s="12" t="n"/>
      <c r="L49" s="12" t="n"/>
      <c r="M49" s="12" t="n"/>
      <c r="N49" s="12" t="n"/>
      <c r="O49" s="12" t="n"/>
      <c r="P49" s="12" t="n"/>
    </row>
  </sheetData>
  <mergeCells count="1">
    <mergeCell ref="A49:P49"/>
  </mergeCells>
  <conditionalFormatting sqref="D22:P22">
    <cfRule type="expression" priority="1" dxfId="2">
      <formula>D22&lt;0</formula>
    </cfRule>
    <cfRule type="expression" priority="2" dxfId="3">
      <formula>AND(D22&gt;=0,D22&lt;250000)</formula>
    </cfRule>
    <cfRule type="expression" priority="3" dxfId="4">
      <formula>D22=MIN($D$22:$P$22)</formula>
    </cfRule>
  </conditionalFormatting>
  <conditionalFormatting sqref="D24:P24">
    <cfRule type="expression" priority="4" dxfId="2">
      <formula>D24&lt;0</formula>
    </cfRule>
    <cfRule type="expression" priority="5" dxfId="3">
      <formula>AND(D24&gt;=0,D24&lt;250000)</formula>
    </cfRule>
    <cfRule type="expression" priority="6" dxfId="4">
      <formula>D24=MIN($D$24:$P$24)</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0.xml><?xml version="1.0" encoding="utf-8"?>
<worksheet xmlns="http://schemas.openxmlformats.org/spreadsheetml/2006/main">
  <sheetPr>
    <tabColor rgb="000F4C3A"/>
    <outlinePr summaryBelow="1" summaryRight="1"/>
    <pageSetUpPr fitToPage="1"/>
  </sheetPr>
  <dimension ref="A1:K7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hidden="1" width="3" customWidth="1" min="1" max="1"/>
    <col width="34" customWidth="1" min="2" max="2"/>
    <col width="14" customWidth="1" min="3" max="3"/>
    <col width="14" customWidth="1" min="4" max="4"/>
    <col width="14" customWidth="1" min="5" max="5"/>
    <col width="10" customWidth="1" min="6" max="6"/>
    <col width="9" customWidth="1" min="7" max="7"/>
    <col width="46" customWidth="1" min="8" max="8"/>
    <col width="14" customWidth="1" min="9" max="9"/>
    <col width="40" customWidth="1" min="10" max="10"/>
    <col hidden="1" width="6" customWidth="1" min="11" max="11"/>
  </cols>
  <sheetData>
    <row r="1" ht="26" customHeight="1">
      <c r="A1" s="1" t="n"/>
      <c r="B1" s="34">
        <f>Settings!C2&amp;": budget vs actual"</f>
        <v/>
      </c>
      <c r="C1" s="2" t="n"/>
      <c r="D1" s="2" t="n"/>
      <c r="E1" s="2" t="n"/>
      <c r="F1" s="2" t="n"/>
      <c r="G1" s="2" t="n"/>
      <c r="H1" s="2" t="n"/>
      <c r="I1" s="2" t="n"/>
      <c r="J1" s="2" t="n"/>
    </row>
    <row r="2">
      <c r="B2" s="35">
        <f>"Period: "&amp;Settings!C4&amp;". Favorable variances are positive. Flag: adverse by at least "&amp;TEXT(Settings!C10,"#,##0")&amp;" Birr or "&amp;TEXT(Settings!C11,"0%")&amp;" of budget."</f>
        <v/>
      </c>
    </row>
    <row r="3"/>
    <row r="4"/>
    <row r="5" ht="33" customHeight="1">
      <c r="A5" s="7" t="inlineStr">
        <is>
          <t>R/C</t>
        </is>
      </c>
      <c r="B5" s="7" t="inlineStr">
        <is>
          <t>Line</t>
        </is>
      </c>
      <c r="C5" s="7" t="inlineStr">
        <is>
          <t>Actual</t>
        </is>
      </c>
      <c r="D5" s="7" t="inlineStr">
        <is>
          <t>Budget</t>
        </is>
      </c>
      <c r="E5" s="7" t="inlineStr">
        <is>
          <t>Variance (favorable +)</t>
        </is>
      </c>
      <c r="F5" s="7" t="inlineStr">
        <is>
          <t>Variance %</t>
        </is>
      </c>
      <c r="G5" s="7" t="inlineStr">
        <is>
          <t>Flag</t>
        </is>
      </c>
      <c r="H5" s="7" t="inlineStr">
        <is>
          <t>Explanation</t>
        </is>
      </c>
      <c r="I5" s="7" t="inlineStr">
        <is>
          <t>Owner</t>
        </is>
      </c>
      <c r="J5" s="7" t="inlineStr">
        <is>
          <t>Action and date</t>
        </is>
      </c>
      <c r="K5" s="7" t="inlineStr">
        <is>
          <t>Exc. no.</t>
        </is>
      </c>
    </row>
    <row r="6" ht="33" customHeight="1">
      <c r="A6" t="inlineStr">
        <is>
          <t>R</t>
        </is>
      </c>
      <c r="B6" s="10" t="inlineStr">
        <is>
          <t>Revenue: flour</t>
        </is>
      </c>
      <c r="C6" s="31">
        <f>IS!C6</f>
        <v/>
      </c>
      <c r="D6" s="31">
        <f>IFERROR(INDEX(Budget!$B$5:$M$21,MATCH(IS!$A6,Budget!$A$5:$A$21,0),MATCH(Settings!$C$4,Budget!$B$4:$M$4,0)),0)</f>
        <v/>
      </c>
      <c r="E6" s="31">
        <f>IF($A6="R",C6-D6,D6-C6)</f>
        <v/>
      </c>
      <c r="F6" s="37">
        <f>IF(D6=0,"",E6/ABS(D6))</f>
        <v/>
      </c>
      <c r="G6" s="44">
        <f>IF(AND(E6&lt;0,OR(ABS(E6)&gt;=Settings!$C$10,IF(F6="",FALSE,ABS(N(F6))&gt;=Settings!$C$11))),"Explain","")</f>
        <v/>
      </c>
      <c r="H6" s="45" t="inlineStr">
        <is>
          <t>Price 9,375 vs 10,000 per quintal (discount to hold distributor volumes); volume 512 vs 500 quintals</t>
        </is>
      </c>
      <c r="I6" s="45" t="inlineStr">
        <is>
          <t>Ato Seid</t>
        </is>
      </c>
      <c r="J6" s="45" t="inlineStr">
        <is>
          <t>Review flour pricing and discounts by Tikimt 15</t>
        </is>
      </c>
      <c r="K6" s="28">
        <f>IF(G6="Explain",COUNTIF($G$6:G6,"Explain"),"")</f>
        <v/>
      </c>
    </row>
    <row r="7" ht="33" customHeight="1">
      <c r="A7" t="inlineStr">
        <is>
          <t>R</t>
        </is>
      </c>
      <c r="B7" s="10" t="inlineStr">
        <is>
          <t>Revenue: pasta</t>
        </is>
      </c>
      <c r="C7" s="31">
        <f>IS!C7</f>
        <v/>
      </c>
      <c r="D7" s="31">
        <f>IFERROR(INDEX(Budget!$B$5:$M$21,MATCH(IS!$A7,Budget!$A$5:$A$21,0),MATCH(Settings!$C$4,Budget!$B$4:$M$4,0)),0)</f>
        <v/>
      </c>
      <c r="E7" s="31">
        <f>IF($A7="R",C7-D7,D7-C7)</f>
        <v/>
      </c>
      <c r="F7" s="37">
        <f>IF(D7=0,"",E7/ABS(D7))</f>
        <v/>
      </c>
      <c r="G7" s="44">
        <f>IF(AND(E7&lt;0,OR(ABS(E7)&gt;=Settings!$C$10,IF(F7="",FALSE,ABS(N(F7))&gt;=Settings!$C$11))),"Explain","")</f>
        <v/>
      </c>
      <c r="H7" s="45" t="inlineStr">
        <is>
          <t>1,875 cartons sold vs 2,000 budget; price on budget</t>
        </is>
      </c>
      <c r="I7" s="45" t="inlineStr">
        <is>
          <t>Tigist</t>
        </is>
      </c>
      <c r="J7" s="45" t="inlineStr">
        <is>
          <t>Agree the Tikimt pasta volume plan with distributors</t>
        </is>
      </c>
      <c r="K7" s="28">
        <f>IF(G7="Explain",COUNTIF($G$6:G7,"Explain"),"")</f>
        <v/>
      </c>
    </row>
    <row r="8">
      <c r="A8" t="inlineStr">
        <is>
          <t>R</t>
        </is>
      </c>
      <c r="B8" s="10" t="inlineStr">
        <is>
          <t>Revenue: bran</t>
        </is>
      </c>
      <c r="C8" s="31">
        <f>IS!C8</f>
        <v/>
      </c>
      <c r="D8" s="31">
        <f>IFERROR(INDEX(Budget!$B$5:$M$21,MATCH(IS!$A8,Budget!$A$5:$A$21,0),MATCH(Settings!$C$4,Budget!$B$4:$M$4,0)),0)</f>
        <v/>
      </c>
      <c r="E8" s="31">
        <f>IF($A8="R",C8-D8,D8-C8)</f>
        <v/>
      </c>
      <c r="F8" s="37">
        <f>IF(D8=0,"",E8/ABS(D8))</f>
        <v/>
      </c>
      <c r="G8" s="44">
        <f>IF(AND(E8&lt;0,OR(ABS(E8)&gt;=Settings!$C$10,IF(F8="",FALSE,ABS(N(F8))&gt;=Settings!$C$11))),"Explain","")</f>
        <v/>
      </c>
      <c r="H8" s="45" t="n"/>
      <c r="I8" s="45" t="n"/>
      <c r="J8" s="45" t="n"/>
      <c r="K8" s="28">
        <f>IF(G8="Explain",COUNTIF($G$6:G8,"Explain"),"")</f>
        <v/>
      </c>
    </row>
    <row r="9">
      <c r="A9" t="inlineStr">
        <is>
          <t>R</t>
        </is>
      </c>
      <c r="B9" s="9" t="inlineStr">
        <is>
          <t>Total revenue</t>
        </is>
      </c>
      <c r="C9" s="41">
        <f>IS!C9</f>
        <v/>
      </c>
      <c r="D9" s="41">
        <f>SUM(D6:D8)</f>
        <v/>
      </c>
      <c r="E9" s="41">
        <f>IF($A9="R",C9-D9,D9-C9)</f>
        <v/>
      </c>
      <c r="F9" s="42">
        <f>IF(D9=0,"",E9/ABS(D9))</f>
        <v/>
      </c>
      <c r="G9" s="8" t="n"/>
      <c r="H9" s="8" t="n"/>
      <c r="I9" s="8" t="n"/>
      <c r="J9" s="8" t="n"/>
      <c r="K9" s="28">
        <f>IF(G9="Explain",COUNTIF($G$6:G9,"Explain"),"")</f>
        <v/>
      </c>
    </row>
    <row r="10">
      <c r="A10" t="inlineStr">
        <is>
          <t>C</t>
        </is>
      </c>
      <c r="B10" s="10" t="inlineStr">
        <is>
          <t>Materials</t>
        </is>
      </c>
      <c r="C10" s="31">
        <f>IS!C10</f>
        <v/>
      </c>
      <c r="D10" s="31">
        <f>IFERROR(INDEX(Budget!$B$5:$M$21,MATCH(IS!$A10,Budget!$A$5:$A$21,0),MATCH(Settings!$C$4,Budget!$B$4:$M$4,0)),0)</f>
        <v/>
      </c>
      <c r="E10" s="31">
        <f>IF($A10="R",C10-D10,D10-C10)</f>
        <v/>
      </c>
      <c r="F10" s="37">
        <f>IF(D10=0,"",E10/ABS(D10))</f>
        <v/>
      </c>
      <c r="G10" s="44">
        <f>IF(AND(E10&lt;0,OR(ABS(E10)&gt;=Settings!$C$10,IF(F10="",FALSE,ABS(N(F10))&gt;=Settings!$C$11))),"Explain","")</f>
        <v/>
      </c>
      <c r="H10" s="45" t="n"/>
      <c r="I10" s="45" t="n"/>
      <c r="J10" s="45" t="n"/>
      <c r="K10" s="28">
        <f>IF(G10="Explain",COUNTIF($G$6:G10,"Explain"),"")</f>
        <v/>
      </c>
    </row>
    <row r="11" ht="33" customHeight="1">
      <c r="A11" t="inlineStr">
        <is>
          <t>C</t>
        </is>
      </c>
      <c r="B11" s="10" t="inlineStr">
        <is>
          <t>Stock count adjustment</t>
        </is>
      </c>
      <c r="C11" s="31">
        <f>IS!C11</f>
        <v/>
      </c>
      <c r="D11" s="31">
        <f>IFERROR(INDEX(Budget!$B$5:$M$21,MATCH(IS!$A11,Budget!$A$5:$A$21,0),MATCH(Settings!$C$4,Budget!$B$4:$M$4,0)),0)</f>
        <v/>
      </c>
      <c r="E11" s="31">
        <f>IF($A11="R",C11-D11,D11-C11)</f>
        <v/>
      </c>
      <c r="F11" s="37">
        <f>IF(D11=0,"",E11/ABS(D11))</f>
        <v/>
      </c>
      <c r="G11" s="44">
        <f>IF(AND(E11&lt;0,OR(ABS(E11)&gt;=Settings!$C$10,IF(F11="",FALSE,ABS(N(F11))&gt;=Settings!$C$11))),"Explain","")</f>
        <v/>
      </c>
      <c r="H11" s="45" t="inlineStr">
        <is>
          <t>Pasta 40 cartons short (3.8%) and 250 bags short at the month-end count</t>
        </is>
      </c>
      <c r="I11" s="45" t="inlineStr">
        <is>
          <t>Getachew</t>
        </is>
      </c>
      <c r="J11" s="45" t="inlineStr">
        <is>
          <t>Finish the investigation and add weekly cycle counts by Tikimt 10</t>
        </is>
      </c>
      <c r="K11" s="28">
        <f>IF(G11="Explain",COUNTIF($G$6:G11,"Explain"),"")</f>
        <v/>
      </c>
    </row>
    <row r="12">
      <c r="A12" t="inlineStr">
        <is>
          <t>C</t>
        </is>
      </c>
      <c r="B12" s="10" t="inlineStr">
        <is>
          <t>Packaging</t>
        </is>
      </c>
      <c r="C12" s="31">
        <f>IS!C12</f>
        <v/>
      </c>
      <c r="D12" s="31">
        <f>IFERROR(INDEX(Budget!$B$5:$M$21,MATCH(IS!$A12,Budget!$A$5:$A$21,0),MATCH(Settings!$C$4,Budget!$B$4:$M$4,0)),0)</f>
        <v/>
      </c>
      <c r="E12" s="31">
        <f>IF($A12="R",C12-D12,D12-C12)</f>
        <v/>
      </c>
      <c r="F12" s="37">
        <f>IF(D12=0,"",E12/ABS(D12))</f>
        <v/>
      </c>
      <c r="G12" s="44">
        <f>IF(AND(E12&lt;0,OR(ABS(E12)&gt;=Settings!$C$10,IF(F12="",FALSE,ABS(N(F12))&gt;=Settings!$C$11))),"Explain","")</f>
        <v/>
      </c>
      <c r="H12" s="45" t="n"/>
      <c r="I12" s="45" t="n"/>
      <c r="J12" s="45" t="n"/>
      <c r="K12" s="28">
        <f>IF(G12="Explain",COUNTIF($G$6:G12,"Explain"),"")</f>
        <v/>
      </c>
    </row>
    <row r="13">
      <c r="A13" t="inlineStr">
        <is>
          <t>C</t>
        </is>
      </c>
      <c r="B13" s="10" t="inlineStr">
        <is>
          <t>Direct labor</t>
        </is>
      </c>
      <c r="C13" s="31">
        <f>IS!C13</f>
        <v/>
      </c>
      <c r="D13" s="31">
        <f>IFERROR(INDEX(Budget!$B$5:$M$21,MATCH(IS!$A13,Budget!$A$5:$A$21,0),MATCH(Settings!$C$4,Budget!$B$4:$M$4,0)),0)</f>
        <v/>
      </c>
      <c r="E13" s="31">
        <f>IF($A13="R",C13-D13,D13-C13)</f>
        <v/>
      </c>
      <c r="F13" s="37">
        <f>IF(D13=0,"",E13/ABS(D13))</f>
        <v/>
      </c>
      <c r="G13" s="44">
        <f>IF(AND(E13&lt;0,OR(ABS(E13)&gt;=Settings!$C$10,IF(F13="",FALSE,ABS(N(F13))&gt;=Settings!$C$11))),"Explain","")</f>
        <v/>
      </c>
      <c r="H13" s="45" t="n"/>
      <c r="I13" s="45" t="n"/>
      <c r="J13" s="45" t="n"/>
      <c r="K13" s="28">
        <f>IF(G13="Explain",COUNTIF($G$6:G13,"Explain"),"")</f>
        <v/>
      </c>
    </row>
    <row r="14" ht="33" customHeight="1">
      <c r="A14" t="inlineStr">
        <is>
          <t>C</t>
        </is>
      </c>
      <c r="B14" s="10" t="inlineStr">
        <is>
          <t>Factory power and maintenance</t>
        </is>
      </c>
      <c r="C14" s="31">
        <f>IS!C14</f>
        <v/>
      </c>
      <c r="D14" s="31">
        <f>IFERROR(INDEX(Budget!$B$5:$M$21,MATCH(IS!$A14,Budget!$A$5:$A$21,0),MATCH(Settings!$C$4,Budget!$B$4:$M$4,0)),0)</f>
        <v/>
      </c>
      <c r="E14" s="31">
        <f>IF($A14="R",C14-D14,D14-C14)</f>
        <v/>
      </c>
      <c r="F14" s="37">
        <f>IF(D14=0,"",E14/ABS(D14))</f>
        <v/>
      </c>
      <c r="G14" s="44">
        <f>IF(AND(E14&lt;0,OR(ABS(E14)&gt;=Settings!$C$10,IF(F14="",FALSE,ABS(N(F14))&gt;=Settings!$C$11))),"Explain","")</f>
        <v/>
      </c>
      <c r="H14" s="45" t="inlineStr">
        <is>
          <t>Extra generator diesel and a maintenance contractor visit</t>
        </is>
      </c>
      <c r="I14" s="45" t="inlineStr">
        <is>
          <t>Getachew</t>
        </is>
      </c>
      <c r="J14" s="45" t="inlineStr">
        <is>
          <t>Review generator use and maintenance plan</t>
        </is>
      </c>
      <c r="K14" s="28">
        <f>IF(G14="Explain",COUNTIF($G$6:G14,"Explain"),"")</f>
        <v/>
      </c>
    </row>
    <row r="15">
      <c r="A15" t="inlineStr">
        <is>
          <t>C</t>
        </is>
      </c>
      <c r="B15" s="10" t="inlineStr">
        <is>
          <t>Factory depreciation</t>
        </is>
      </c>
      <c r="C15" s="31">
        <f>IS!C15</f>
        <v/>
      </c>
      <c r="D15" s="31">
        <f>IFERROR(INDEX(Budget!$B$5:$M$21,MATCH(IS!$A15,Budget!$A$5:$A$21,0),MATCH(Settings!$C$4,Budget!$B$4:$M$4,0)),0)</f>
        <v/>
      </c>
      <c r="E15" s="31">
        <f>IF($A15="R",C15-D15,D15-C15)</f>
        <v/>
      </c>
      <c r="F15" s="37">
        <f>IF(D15=0,"",E15/ABS(D15))</f>
        <v/>
      </c>
      <c r="G15" s="44">
        <f>IF(AND(E15&lt;0,OR(ABS(E15)&gt;=Settings!$C$10,IF(F15="",FALSE,ABS(N(F15))&gt;=Settings!$C$11))),"Explain","")</f>
        <v/>
      </c>
      <c r="H15" s="45" t="n"/>
      <c r="I15" s="45" t="n"/>
      <c r="J15" s="45" t="n"/>
      <c r="K15" s="28">
        <f>IF(G15="Explain",COUNTIF($G$6:G15,"Explain"),"")</f>
        <v/>
      </c>
    </row>
    <row r="16">
      <c r="A16" t="inlineStr">
        <is>
          <t>C</t>
        </is>
      </c>
      <c r="B16" s="9" t="inlineStr">
        <is>
          <t>Cost of sales</t>
        </is>
      </c>
      <c r="C16" s="41">
        <f>IS!C16</f>
        <v/>
      </c>
      <c r="D16" s="41">
        <f>SUM(D10:D15)</f>
        <v/>
      </c>
      <c r="E16" s="41">
        <f>IF($A16="R",C16-D16,D16-C16)</f>
        <v/>
      </c>
      <c r="F16" s="42">
        <f>IF(D16=0,"",E16/ABS(D16))</f>
        <v/>
      </c>
      <c r="G16" s="8" t="n"/>
      <c r="H16" s="8" t="n"/>
      <c r="I16" s="8" t="n"/>
      <c r="J16" s="8" t="n"/>
      <c r="K16" s="28">
        <f>IF(G16="Explain",COUNTIF($G$6:G16,"Explain"),"")</f>
        <v/>
      </c>
    </row>
    <row r="17">
      <c r="A17" t="inlineStr">
        <is>
          <t>R</t>
        </is>
      </c>
      <c r="B17" s="9" t="inlineStr">
        <is>
          <t>Gross profit</t>
        </is>
      </c>
      <c r="C17" s="41">
        <f>IS!C17</f>
        <v/>
      </c>
      <c r="D17" s="41">
        <f>D9-D16</f>
        <v/>
      </c>
      <c r="E17" s="41">
        <f>IF($A17="R",C17-D17,D17-C17)</f>
        <v/>
      </c>
      <c r="F17" s="42">
        <f>IF(D17=0,"",E17/ABS(D17))</f>
        <v/>
      </c>
      <c r="G17" s="8" t="n"/>
      <c r="H17" s="8" t="n"/>
      <c r="I17" s="8" t="n"/>
      <c r="J17" s="8" t="n"/>
      <c r="K17" s="28">
        <f>IF(G17="Explain",COUNTIF($G$6:G17,"Explain"),"")</f>
        <v/>
      </c>
    </row>
    <row r="18">
      <c r="A18" t="inlineStr">
        <is>
          <t>C</t>
        </is>
      </c>
      <c r="B18" s="10" t="inlineStr">
        <is>
          <t>Selling and distribution</t>
        </is>
      </c>
      <c r="C18" s="31">
        <f>IS!C18</f>
        <v/>
      </c>
      <c r="D18" s="31">
        <f>IFERROR(INDEX(Budget!$B$5:$M$21,MATCH(IS!$A18,Budget!$A$5:$A$21,0),MATCH(Settings!$C$4,Budget!$B$4:$M$4,0)),0)</f>
        <v/>
      </c>
      <c r="E18" s="31">
        <f>IF($A18="R",C18-D18,D18-C18)</f>
        <v/>
      </c>
      <c r="F18" s="37">
        <f>IF(D18=0,"",E18/ABS(D18))</f>
        <v/>
      </c>
      <c r="G18" s="44">
        <f>IF(AND(E18&lt;0,OR(ABS(E18)&gt;=Settings!$C$10,IF(F18="",FALSE,ABS(N(F18))&gt;=Settings!$C$11))),"Explain","")</f>
        <v/>
      </c>
      <c r="H18" s="45" t="n"/>
      <c r="I18" s="45" t="n"/>
      <c r="J18" s="45" t="n"/>
      <c r="K18" s="28">
        <f>IF(G18="Explain",COUNTIF($G$6:G18,"Explain"),"")</f>
        <v/>
      </c>
    </row>
    <row r="19">
      <c r="A19" t="inlineStr">
        <is>
          <t>C</t>
        </is>
      </c>
      <c r="B19" s="10" t="inlineStr">
        <is>
          <t>Administrative salaries</t>
        </is>
      </c>
      <c r="C19" s="31">
        <f>IS!C19</f>
        <v/>
      </c>
      <c r="D19" s="31">
        <f>IFERROR(INDEX(Budget!$B$5:$M$21,MATCH(IS!$A19,Budget!$A$5:$A$21,0),MATCH(Settings!$C$4,Budget!$B$4:$M$4,0)),0)</f>
        <v/>
      </c>
      <c r="E19" s="31">
        <f>IF($A19="R",C19-D19,D19-C19)</f>
        <v/>
      </c>
      <c r="F19" s="37">
        <f>IF(D19=0,"",E19/ABS(D19))</f>
        <v/>
      </c>
      <c r="G19" s="44">
        <f>IF(AND(E19&lt;0,OR(ABS(E19)&gt;=Settings!$C$10,IF(F19="",FALSE,ABS(N(F19))&gt;=Settings!$C$11))),"Explain","")</f>
        <v/>
      </c>
      <c r="H19" s="45" t="n"/>
      <c r="I19" s="45" t="n"/>
      <c r="J19" s="45" t="n"/>
      <c r="K19" s="28">
        <f>IF(G19="Explain",COUNTIF($G$6:G19,"Explain"),"")</f>
        <v/>
      </c>
    </row>
    <row r="20">
      <c r="A20" t="inlineStr">
        <is>
          <t>C</t>
        </is>
      </c>
      <c r="B20" s="10" t="inlineStr">
        <is>
          <t>Rent and utilities</t>
        </is>
      </c>
      <c r="C20" s="31">
        <f>IS!C20</f>
        <v/>
      </c>
      <c r="D20" s="31">
        <f>IFERROR(INDEX(Budget!$B$5:$M$21,MATCH(IS!$A20,Budget!$A$5:$A$21,0),MATCH(Settings!$C$4,Budget!$B$4:$M$4,0)),0)</f>
        <v/>
      </c>
      <c r="E20" s="31">
        <f>IF($A20="R",C20-D20,D20-C20)</f>
        <v/>
      </c>
      <c r="F20" s="37">
        <f>IF(D20=0,"",E20/ABS(D20))</f>
        <v/>
      </c>
      <c r="G20" s="44">
        <f>IF(AND(E20&lt;0,OR(ABS(E20)&gt;=Settings!$C$10,IF(F20="",FALSE,ABS(N(F20))&gt;=Settings!$C$11))),"Explain","")</f>
        <v/>
      </c>
      <c r="H20" s="45" t="n"/>
      <c r="I20" s="45" t="n"/>
      <c r="J20" s="45" t="n"/>
      <c r="K20" s="28">
        <f>IF(G20="Explain",COUNTIF($G$6:G20,"Explain"),"")</f>
        <v/>
      </c>
    </row>
    <row r="21" ht="33" customHeight="1">
      <c r="A21" t="inlineStr">
        <is>
          <t>C</t>
        </is>
      </c>
      <c r="B21" s="10" t="inlineStr">
        <is>
          <t>Other administration</t>
        </is>
      </c>
      <c r="C21" s="31">
        <f>IS!C21</f>
        <v/>
      </c>
      <c r="D21" s="31">
        <f>IFERROR(INDEX(Budget!$B$5:$M$21,MATCH(IS!$A21,Budget!$A$5:$A$21,0),MATCH(Settings!$C$4,Budget!$B$4:$M$4,0)),0)</f>
        <v/>
      </c>
      <c r="E21" s="31">
        <f>IF($A21="R",C21-D21,D21-C21)</f>
        <v/>
      </c>
      <c r="F21" s="37">
        <f>IF(D21=0,"",E21/ABS(D21))</f>
        <v/>
      </c>
      <c r="G21" s="44">
        <f>IF(AND(E21&lt;0,OR(ABS(E21)&gt;=Settings!$C$10,IF(F21="",FALSE,ABS(N(F21))&gt;=Settings!$C$11))),"Explain","")</f>
        <v/>
      </c>
      <c r="H21" s="45" t="inlineStr">
        <is>
          <t>Audit fee accrual of 60,000 a month above the budget</t>
        </is>
      </c>
      <c r="I21" s="45" t="inlineStr">
        <is>
          <t>Hiwot</t>
        </is>
      </c>
      <c r="J21" s="45" t="inlineStr">
        <is>
          <t>Update the budget for the audit fee</t>
        </is>
      </c>
      <c r="K21" s="28">
        <f>IF(G21="Explain",COUNTIF($G$6:G21,"Explain"),"")</f>
        <v/>
      </c>
    </row>
    <row r="22">
      <c r="A22" t="inlineStr">
        <is>
          <t>C</t>
        </is>
      </c>
      <c r="B22" s="10" t="inlineStr">
        <is>
          <t>Depreciation, vehicles and office</t>
        </is>
      </c>
      <c r="C22" s="31">
        <f>IS!C22</f>
        <v/>
      </c>
      <c r="D22" s="31">
        <f>IFERROR(INDEX(Budget!$B$5:$M$21,MATCH(IS!$A22,Budget!$A$5:$A$21,0),MATCH(Settings!$C$4,Budget!$B$4:$M$4,0)),0)</f>
        <v/>
      </c>
      <c r="E22" s="31">
        <f>IF($A22="R",C22-D22,D22-C22)</f>
        <v/>
      </c>
      <c r="F22" s="37">
        <f>IF(D22=0,"",E22/ABS(D22))</f>
        <v/>
      </c>
      <c r="G22" s="44">
        <f>IF(AND(E22&lt;0,OR(ABS(E22)&gt;=Settings!$C$10,IF(F22="",FALSE,ABS(N(F22))&gt;=Settings!$C$11))),"Explain","")</f>
        <v/>
      </c>
      <c r="H22" s="45" t="n"/>
      <c r="I22" s="45" t="n"/>
      <c r="J22" s="45" t="n"/>
      <c r="K22" s="28">
        <f>IF(G22="Explain",COUNTIF($G$6:G22,"Explain"),"")</f>
        <v/>
      </c>
    </row>
    <row r="23" ht="33" customHeight="1">
      <c r="A23" t="inlineStr">
        <is>
          <t>C</t>
        </is>
      </c>
      <c r="B23" s="10" t="inlineStr">
        <is>
          <t>Credit loss allowance</t>
        </is>
      </c>
      <c r="C23" s="31">
        <f>IS!C23</f>
        <v/>
      </c>
      <c r="D23" s="31">
        <f>IFERROR(INDEX(Budget!$B$5:$M$21,MATCH(IS!$A23,Budget!$A$5:$A$21,0),MATCH(Settings!$C$4,Budget!$B$4:$M$4,0)),0)</f>
        <v/>
      </c>
      <c r="E23" s="31">
        <f>IF($A23="R",C23-D23,D23-C23)</f>
        <v/>
      </c>
      <c r="F23" s="37">
        <f>IF(D23=0,"",E23/ABS(D23))</f>
        <v/>
      </c>
      <c r="G23" s="44">
        <f>IF(AND(E23&lt;0,OR(ABS(E23)&gt;=Settings!$C$10,IF(F23="",FALSE,ABS(N(F23))&gt;=Settings!$C$11))),"Explain","")</f>
        <v/>
      </c>
      <c r="H23" s="45" t="inlineStr">
        <is>
          <t>Allowance up with Dessie Star's over-90-day balance</t>
        </is>
      </c>
      <c r="I23" s="45" t="inlineStr">
        <is>
          <t>Kedir</t>
        </is>
      </c>
      <c r="J23" s="45" t="inlineStr">
        <is>
          <t>Dessie Star payment plan; weekly aging review every Monday</t>
        </is>
      </c>
      <c r="K23" s="28">
        <f>IF(G23="Explain",COUNTIF($G$6:G23,"Explain"),"")</f>
        <v/>
      </c>
    </row>
    <row r="24">
      <c r="A24" t="inlineStr">
        <is>
          <t>C</t>
        </is>
      </c>
      <c r="B24" s="9" t="inlineStr">
        <is>
          <t>Administration</t>
        </is>
      </c>
      <c r="C24" s="41">
        <f>IS!C24</f>
        <v/>
      </c>
      <c r="D24" s="41">
        <f>SUM(D19:D23)</f>
        <v/>
      </c>
      <c r="E24" s="41">
        <f>IF($A24="R",C24-D24,D24-C24)</f>
        <v/>
      </c>
      <c r="F24" s="42">
        <f>IF(D24=0,"",E24/ABS(D24))</f>
        <v/>
      </c>
      <c r="G24" s="8" t="n"/>
      <c r="H24" s="8" t="n"/>
      <c r="I24" s="8" t="n"/>
      <c r="J24" s="8" t="n"/>
      <c r="K24" s="28">
        <f>IF(G24="Explain",COUNTIF($G$6:G24,"Explain"),"")</f>
        <v/>
      </c>
    </row>
    <row r="25">
      <c r="A25" t="inlineStr">
        <is>
          <t>R</t>
        </is>
      </c>
      <c r="B25" s="9" t="inlineStr">
        <is>
          <t>Operating profit</t>
        </is>
      </c>
      <c r="C25" s="41">
        <f>IS!C25</f>
        <v/>
      </c>
      <c r="D25" s="41">
        <f>D17-D18-D24</f>
        <v/>
      </c>
      <c r="E25" s="41">
        <f>IF($A25="R",C25-D25,D25-C25)</f>
        <v/>
      </c>
      <c r="F25" s="42">
        <f>IF(D25=0,"",E25/ABS(D25))</f>
        <v/>
      </c>
      <c r="G25" s="8" t="n"/>
      <c r="H25" s="8" t="n"/>
      <c r="I25" s="8" t="n"/>
      <c r="J25" s="8" t="n"/>
      <c r="K25" s="28">
        <f>IF(G25="Explain",COUNTIF($G$6:G25,"Explain"),"")</f>
        <v/>
      </c>
    </row>
    <row r="26">
      <c r="A26" t="inlineStr">
        <is>
          <t>C</t>
        </is>
      </c>
      <c r="B26" s="10" t="inlineStr">
        <is>
          <t>Finance costs</t>
        </is>
      </c>
      <c r="C26" s="31">
        <f>IS!C26</f>
        <v/>
      </c>
      <c r="D26" s="31">
        <f>IFERROR(INDEX(Budget!$B$5:$M$21,MATCH(IS!$A26,Budget!$A$5:$A$21,0),MATCH(Settings!$C$4,Budget!$B$4:$M$4,0)),0)</f>
        <v/>
      </c>
      <c r="E26" s="31">
        <f>IF($A26="R",C26-D26,D26-C26)</f>
        <v/>
      </c>
      <c r="F26" s="37">
        <f>IF(D26=0,"",E26/ABS(D26))</f>
        <v/>
      </c>
      <c r="G26" s="44">
        <f>IF(AND(E26&lt;0,OR(ABS(E26)&gt;=Settings!$C$10,IF(F26="",FALSE,ABS(N(F26))&gt;=Settings!$C$11))),"Explain","")</f>
        <v/>
      </c>
      <c r="H26" s="45" t="n"/>
      <c r="I26" s="45" t="n"/>
      <c r="J26" s="45" t="n"/>
      <c r="K26" s="28">
        <f>IF(G26="Explain",COUNTIF($G$6:G26,"Explain"),"")</f>
        <v/>
      </c>
    </row>
    <row r="27">
      <c r="A27" t="inlineStr">
        <is>
          <t>R</t>
        </is>
      </c>
      <c r="B27" s="9" t="inlineStr">
        <is>
          <t>Profit before tax</t>
        </is>
      </c>
      <c r="C27" s="41">
        <f>IS!C27</f>
        <v/>
      </c>
      <c r="D27" s="41">
        <f>D25-D26</f>
        <v/>
      </c>
      <c r="E27" s="41">
        <f>IF($A27="R",C27-D27,D27-C27)</f>
        <v/>
      </c>
      <c r="F27" s="42">
        <f>IF(D27=0,"",E27/ABS(D27))</f>
        <v/>
      </c>
      <c r="G27" s="8" t="n"/>
      <c r="H27" s="8" t="n"/>
      <c r="I27" s="8" t="n"/>
      <c r="J27" s="8" t="n"/>
      <c r="K27" s="28">
        <f>IF(G27="Explain",COUNTIF($G$6:G27,"Explain"),"")</f>
        <v/>
      </c>
    </row>
    <row r="28">
      <c r="A28" t="inlineStr">
        <is>
          <t>C</t>
        </is>
      </c>
      <c r="B28" s="10" t="inlineStr">
        <is>
          <t>Income tax</t>
        </is>
      </c>
      <c r="C28" s="31">
        <f>IS!C28</f>
        <v/>
      </c>
      <c r="D28" s="31">
        <f>IFERROR(INDEX(Budget!$B$5:$M$21,MATCH(IS!$A28,Budget!$A$5:$A$21,0),MATCH(Settings!$C$4,Budget!$B$4:$M$4,0)),0)</f>
        <v/>
      </c>
      <c r="E28" s="31">
        <f>IF($A28="R",C28-D28,D28-C28)</f>
        <v/>
      </c>
      <c r="F28" s="37">
        <f>IF(D28=0,"",E28/ABS(D28))</f>
        <v/>
      </c>
      <c r="G28" s="44">
        <f>IF(AND(E28&lt;0,OR(ABS(E28)&gt;=Settings!$C$10,IF(F28="",FALSE,ABS(N(F28))&gt;=Settings!$C$11))),"Explain","")</f>
        <v/>
      </c>
      <c r="H28" s="45" t="n"/>
      <c r="I28" s="45" t="n"/>
      <c r="J28" s="45" t="n"/>
      <c r="K28" s="28">
        <f>IF(G28="Explain",COUNTIF($G$6:G28,"Explain"),"")</f>
        <v/>
      </c>
    </row>
    <row r="29">
      <c r="A29" t="inlineStr">
        <is>
          <t>R</t>
        </is>
      </c>
      <c r="B29" s="9" t="inlineStr">
        <is>
          <t>Profit for the period</t>
        </is>
      </c>
      <c r="C29" s="41">
        <f>IS!C29</f>
        <v/>
      </c>
      <c r="D29" s="41">
        <f>D27-D28</f>
        <v/>
      </c>
      <c r="E29" s="41">
        <f>IF($A29="R",C29-D29,D29-C29)</f>
        <v/>
      </c>
      <c r="F29" s="42">
        <f>IF(D29=0,"",E29/ABS(D29))</f>
        <v/>
      </c>
      <c r="G29" s="8" t="n"/>
      <c r="H29" s="8" t="n"/>
      <c r="I29" s="8" t="n"/>
      <c r="J29" s="8" t="n"/>
      <c r="K29" s="28">
        <f>IF(G29="Explain",COUNTIF($G$6:G29,"Explain"),"")</f>
        <v/>
      </c>
    </row>
    <row r="30">
      <c r="B30" s="9" t="inlineStr">
        <is>
          <t>Lines flagged Explain</t>
        </is>
      </c>
      <c r="C30" s="43">
        <f>COUNTIF(G6:G29,"Explain")</f>
        <v/>
      </c>
    </row>
    <row r="31"/>
    <row r="32">
      <c r="B32" s="4" t="inlineStr">
        <is>
          <t>Flex analysis: gross profit variance by cause</t>
        </is>
      </c>
    </row>
    <row r="33" ht="33" customHeight="1">
      <c r="B33" s="7" t="inlineStr">
        <is>
          <t>Item</t>
        </is>
      </c>
      <c r="C33" s="7" t="inlineStr">
        <is>
          <t>Value</t>
        </is>
      </c>
      <c r="D33" s="7" t="inlineStr">
        <is>
          <t>How it is calculated</t>
        </is>
      </c>
    </row>
    <row r="34" ht="48" customHeight="1">
      <c r="B34" s="10" t="inlineStr">
        <is>
          <t>Flour actual quintals</t>
        </is>
      </c>
      <c r="C34" s="46">
        <f>SUMIFS(Transactions!$L$5:$L$1004,Transactions!$F$5:$F$1004,"Revenue: flour",Transactions!$B$5:$B$1004,Settings!$C$4)</f>
        <v/>
      </c>
      <c r="D34" s="14" t="inlineStr">
        <is>
          <t>SUMIFS of Qty, line Revenue: flour, period</t>
        </is>
      </c>
    </row>
    <row r="35">
      <c r="B35" s="10" t="inlineStr">
        <is>
          <t>Flour budget quintals</t>
        </is>
      </c>
      <c r="C35" s="46">
        <f>Budget!B24</f>
        <v/>
      </c>
      <c r="D35" s="14" t="inlineStr">
        <is>
          <t>Budget driver</t>
        </is>
      </c>
    </row>
    <row r="36" ht="33" customHeight="1">
      <c r="B36" s="10" t="inlineStr">
        <is>
          <t>Flour actual price per quintal</t>
        </is>
      </c>
      <c r="C36" s="31">
        <f>IF(C34=0,0,C6/C34)</f>
        <v/>
      </c>
      <c r="D36" s="14" t="inlineStr">
        <is>
          <t>flour revenue / quintals</t>
        </is>
      </c>
    </row>
    <row r="37">
      <c r="B37" s="10" t="inlineStr">
        <is>
          <t>Flour budget price per quintal</t>
        </is>
      </c>
      <c r="C37" s="31">
        <f>Budget!B25</f>
        <v/>
      </c>
      <c r="D37" s="14" t="inlineStr">
        <is>
          <t>Budget driver</t>
        </is>
      </c>
    </row>
    <row r="38" ht="48" customHeight="1">
      <c r="B38" s="10" t="inlineStr">
        <is>
          <t>Flour volume variance</t>
        </is>
      </c>
      <c r="C38" s="31">
        <f>(C34-C35)*C37</f>
        <v/>
      </c>
      <c r="D38" s="14" t="inlineStr">
        <is>
          <t>(actual - budget quintals) x budget price</t>
        </is>
      </c>
    </row>
    <row r="39" ht="48" customHeight="1">
      <c r="B39" s="10" t="inlineStr">
        <is>
          <t>Flour price variance</t>
        </is>
      </c>
      <c r="C39" s="31">
        <f>(C36-C37)*C34</f>
        <v/>
      </c>
      <c r="D39" s="14" t="inlineStr">
        <is>
          <t>(actual - budget price) x actual quintals</t>
        </is>
      </c>
    </row>
    <row r="40" ht="48" customHeight="1">
      <c r="B40" s="10" t="inlineStr">
        <is>
          <t>Pasta actual cartons</t>
        </is>
      </c>
      <c r="C40" s="46">
        <f>SUMIFS(Transactions!$L$5:$L$1004,Transactions!$F$5:$F$1004,"Revenue: pasta",Transactions!$B$5:$B$1004,Settings!$C$4)</f>
        <v/>
      </c>
      <c r="D40" s="14" t="inlineStr">
        <is>
          <t>SUMIFS of Qty, line Revenue: pasta, period</t>
        </is>
      </c>
    </row>
    <row r="41">
      <c r="B41" s="10" t="inlineStr">
        <is>
          <t>Pasta budget cartons</t>
        </is>
      </c>
      <c r="C41" s="46">
        <f>Budget!B27</f>
        <v/>
      </c>
      <c r="D41" s="14" t="inlineStr">
        <is>
          <t>Budget driver</t>
        </is>
      </c>
    </row>
    <row r="42" ht="33" customHeight="1">
      <c r="B42" s="10" t="inlineStr">
        <is>
          <t>Pasta actual price per carton</t>
        </is>
      </c>
      <c r="C42" s="31">
        <f>IF(C40=0,0,C7/C40)</f>
        <v/>
      </c>
      <c r="D42" s="14" t="inlineStr">
        <is>
          <t>pasta revenue / cartons</t>
        </is>
      </c>
    </row>
    <row r="43">
      <c r="B43" s="10" t="inlineStr">
        <is>
          <t>Pasta budget price per carton</t>
        </is>
      </c>
      <c r="C43" s="31">
        <f>Budget!B28</f>
        <v/>
      </c>
      <c r="D43" s="14" t="inlineStr">
        <is>
          <t>Budget driver</t>
        </is>
      </c>
    </row>
    <row r="44" ht="48" customHeight="1">
      <c r="B44" s="10" t="inlineStr">
        <is>
          <t>Pasta volume variance</t>
        </is>
      </c>
      <c r="C44" s="31">
        <f>(C40-C41)*C43</f>
        <v/>
      </c>
      <c r="D44" s="14" t="inlineStr">
        <is>
          <t>(actual - budget cartons) x budget price</t>
        </is>
      </c>
    </row>
    <row r="45" ht="48" customHeight="1">
      <c r="B45" s="10" t="inlineStr">
        <is>
          <t>Pasta price variance</t>
        </is>
      </c>
      <c r="C45" s="31">
        <f>(C42-C43)*C40</f>
        <v/>
      </c>
      <c r="D45" s="14" t="inlineStr">
        <is>
          <t>(actual - budget price) x actual cartons</t>
        </is>
      </c>
    </row>
    <row r="46">
      <c r="B46" s="10" t="inlineStr">
        <is>
          <t>Bran revenue variance</t>
        </is>
      </c>
      <c r="C46" s="31">
        <f>E8</f>
        <v/>
      </c>
      <c r="D46" s="14" t="inlineStr">
        <is>
          <t>from the table</t>
        </is>
      </c>
    </row>
    <row r="47" ht="48" customHeight="1">
      <c r="B47" s="10" t="inlineStr">
        <is>
          <t>Flexed materials</t>
        </is>
      </c>
      <c r="C47" s="31">
        <f>C34*Budget!B26+C40*Budget!B29</f>
        <v/>
      </c>
      <c r="D47" s="14" t="inlineStr">
        <is>
          <t>actual quintals x 6,400 + actual cartons x 808</t>
        </is>
      </c>
    </row>
    <row r="48" ht="48" customHeight="1">
      <c r="B48" s="10" t="inlineStr">
        <is>
          <t>Materials volume effect</t>
        </is>
      </c>
      <c r="C48" s="31">
        <f>D10-C47</f>
        <v/>
      </c>
      <c r="D48" s="14" t="inlineStr">
        <is>
          <t>budget materials - flexed materials</t>
        </is>
      </c>
    </row>
    <row r="49" ht="48" customHeight="1">
      <c r="B49" s="10" t="inlineStr">
        <is>
          <t>Materials price and usage</t>
        </is>
      </c>
      <c r="C49" s="31">
        <f>C47-C10</f>
        <v/>
      </c>
      <c r="D49" s="14" t="inlineStr">
        <is>
          <t>flexed materials - actual materials</t>
        </is>
      </c>
    </row>
    <row r="50">
      <c r="B50" s="10" t="inlineStr">
        <is>
          <t>Stock count adjustment</t>
        </is>
      </c>
      <c r="C50" s="31">
        <f>E11</f>
        <v/>
      </c>
      <c r="D50" s="14" t="inlineStr">
        <is>
          <t>from the table</t>
        </is>
      </c>
    </row>
    <row r="51">
      <c r="B51" s="10" t="inlineStr">
        <is>
          <t>Packaging</t>
        </is>
      </c>
      <c r="C51" s="31">
        <f>E12</f>
        <v/>
      </c>
      <c r="D51" s="14" t="inlineStr">
        <is>
          <t>from the table</t>
        </is>
      </c>
    </row>
    <row r="52">
      <c r="B52" s="10" t="inlineStr">
        <is>
          <t>Direct labor</t>
        </is>
      </c>
      <c r="C52" s="31">
        <f>E13</f>
        <v/>
      </c>
      <c r="D52" s="14" t="inlineStr">
        <is>
          <t>from the table</t>
        </is>
      </c>
    </row>
    <row r="53">
      <c r="B53" s="10" t="inlineStr">
        <is>
          <t>Factory power and maintenance</t>
        </is>
      </c>
      <c r="C53" s="31">
        <f>E14</f>
        <v/>
      </c>
      <c r="D53" s="14" t="inlineStr">
        <is>
          <t>from the table</t>
        </is>
      </c>
    </row>
    <row r="54">
      <c r="B54" s="10" t="inlineStr">
        <is>
          <t>Factory depreciation</t>
        </is>
      </c>
      <c r="C54" s="31">
        <f>E15</f>
        <v/>
      </c>
      <c r="D54" s="14" t="inlineStr">
        <is>
          <t>from the table</t>
        </is>
      </c>
    </row>
    <row r="55">
      <c r="B55" s="9" t="inlineStr">
        <is>
          <t>Total gross profit variance</t>
        </is>
      </c>
      <c r="C55" s="41">
        <f>C38+C39+C44+C45+C46+C48+C49+SUM(C50:C54)</f>
        <v/>
      </c>
      <c r="D55" s="14" t="inlineStr">
        <is>
          <t>sum of the causes</t>
        </is>
      </c>
    </row>
    <row r="56" ht="33" customHeight="1">
      <c r="B56" s="9" t="inlineStr">
        <is>
          <t>Check: total minus gross profit variance in the table</t>
        </is>
      </c>
      <c r="C56" s="41">
        <f>C55-E17</f>
        <v/>
      </c>
      <c r="D56" s="14" t="inlineStr">
        <is>
          <t>must be 0</t>
        </is>
      </c>
    </row>
    <row r="57" ht="48" customHeight="1">
      <c r="B57" s="10" t="inlineStr">
        <is>
          <t>Memo: flour materials per quintal, actual</t>
        </is>
      </c>
      <c r="C57" s="31">
        <f>IF(C34=0,0,SUMIFS(Transactions!$N$5:$N$1004,Transactions!$E$5:$E$1004,5010,Transactions!$H$5:$H$1004,"Flour",Transactions!$B$5:$B$1004,Settings!$C$4)/C34)</f>
        <v/>
      </c>
      <c r="D57" s="14" t="inlineStr">
        <is>
          <t>materials for flour sold / quintals (budget 6,400)</t>
        </is>
      </c>
    </row>
    <row r="58"/>
    <row r="59">
      <c r="B59" s="4" t="inlineStr">
        <is>
          <t>Break-even</t>
        </is>
      </c>
    </row>
    <row r="60" ht="20" customHeight="1">
      <c r="B60" s="7" t="inlineStr">
        <is>
          <t>Item</t>
        </is>
      </c>
      <c r="C60" s="7" t="inlineStr">
        <is>
          <t>Budget</t>
        </is>
      </c>
      <c r="D60" s="7" t="inlineStr">
        <is>
          <t>Actual</t>
        </is>
      </c>
    </row>
    <row r="61">
      <c r="B61" s="10" t="inlineStr">
        <is>
          <t>Revenue</t>
        </is>
      </c>
      <c r="C61" s="31">
        <f>D9</f>
        <v/>
      </c>
      <c r="D61" s="31">
        <f>C9</f>
        <v/>
      </c>
    </row>
    <row r="62">
      <c r="B62" s="10" t="inlineStr">
        <is>
          <t>Variable costs</t>
        </is>
      </c>
      <c r="C62" s="31">
        <f>D10+D12+Budget!B31*D9</f>
        <v/>
      </c>
      <c r="D62" s="31">
        <f>SUMPRODUCT(SUMIFS(Transactions!$N$5:$N$1004,Transactions!$E$5:$E$1004,Lists!$F$4:$F$40,Transactions!$B$5:$B$1004,Settings!$C$4)*(Lists!$J$4:$J$40="Variable"))</f>
        <v/>
      </c>
    </row>
    <row r="63">
      <c r="B63" s="10" t="inlineStr">
        <is>
          <t>Variable cost ratio</t>
        </is>
      </c>
      <c r="C63" s="37">
        <f>C62/C61</f>
        <v/>
      </c>
      <c r="D63" s="37">
        <f>D62/D61</f>
        <v/>
      </c>
    </row>
    <row r="64">
      <c r="B64" s="10" t="inlineStr">
        <is>
          <t>Contribution</t>
        </is>
      </c>
      <c r="C64" s="31">
        <f>C61-C62</f>
        <v/>
      </c>
      <c r="D64" s="31">
        <f>D61-D62</f>
        <v/>
      </c>
    </row>
    <row r="65">
      <c r="B65" s="10" t="inlineStr">
        <is>
          <t>Contribution margin ratio</t>
        </is>
      </c>
      <c r="C65" s="37">
        <f>C64/C61</f>
        <v/>
      </c>
      <c r="D65" s="37">
        <f>D64/D61</f>
        <v/>
      </c>
    </row>
    <row r="66">
      <c r="B66" s="10" t="inlineStr">
        <is>
          <t>Fixed costs (before tax)</t>
        </is>
      </c>
      <c r="C66" s="31">
        <f>D16+D18+D24+D26-C62</f>
        <v/>
      </c>
      <c r="D66" s="31">
        <f>SUMPRODUCT(SUMIFS(Transactions!$N$5:$N$1004,Transactions!$E$5:$E$1004,Lists!$F$4:$F$40,Transactions!$B$5:$B$1004,Settings!$C$4)*(Lists!$J$4:$J$40="Fixed"))</f>
        <v/>
      </c>
    </row>
    <row r="67">
      <c r="B67" s="10" t="inlineStr">
        <is>
          <t>Break-even revenue</t>
        </is>
      </c>
      <c r="C67" s="31">
        <f>C66/C65</f>
        <v/>
      </c>
      <c r="D67" s="31">
        <f>D66/D65</f>
        <v/>
      </c>
    </row>
    <row r="68">
      <c r="B68" s="10" t="inlineStr">
        <is>
          <t>Margin of safety</t>
        </is>
      </c>
      <c r="C68" s="37">
        <f>(C61-C67)/C61</f>
        <v/>
      </c>
      <c r="D68" s="37">
        <f>(D61-D67)/D61</f>
        <v/>
      </c>
    </row>
    <row r="69" ht="33" customHeight="1">
      <c r="B69" s="10" t="inlineStr">
        <is>
          <t>Profit before tax (contribution minus fixed costs)</t>
        </is>
      </c>
      <c r="C69" s="31">
        <f>C64-C66</f>
        <v/>
      </c>
      <c r="D69" s="31">
        <f>D64-D66</f>
        <v/>
      </c>
    </row>
    <row r="70">
      <c r="B70" s="14" t="inlineStr">
        <is>
          <t>Variable and Fixed come from the Behavior column of tblAccounts. Budget variable costs are materials, packaging and variable selling (Budget!B31 x revenue).</t>
        </is>
      </c>
    </row>
    <row r="71"/>
    <row r="72" ht="22" customHeight="1">
      <c r="A72" s="11" t="inlineStr">
        <is>
          <t>Investopia Academy · A platform by Erudite Africa Investments PLC · investopia.et</t>
        </is>
      </c>
      <c r="B72" s="12" t="n"/>
      <c r="C72" s="12" t="n"/>
      <c r="D72" s="12" t="n"/>
      <c r="E72" s="12" t="n"/>
      <c r="F72" s="12" t="n"/>
      <c r="G72" s="12" t="n"/>
      <c r="H72" s="12" t="n"/>
      <c r="I72" s="12" t="n"/>
      <c r="J72" s="12" t="n"/>
    </row>
  </sheetData>
  <mergeCells count="2">
    <mergeCell ref="A72:J72"/>
    <mergeCell ref="B70:J70"/>
  </mergeCells>
  <conditionalFormatting sqref="B6:J29">
    <cfRule type="expression" priority="1" dxfId="2">
      <formula>$G6="Explain"</formula>
    </cfRule>
  </conditionalFormatting>
  <conditionalFormatting sqref="E6">
    <cfRule type="expression" priority="2" dxfId="5">
      <formula>E6&gt;=Settings!$C$10</formula>
    </cfRule>
  </conditionalFormatting>
  <conditionalFormatting sqref="E7">
    <cfRule type="expression" priority="3" dxfId="5">
      <formula>E7&gt;=Settings!$C$10</formula>
    </cfRule>
  </conditionalFormatting>
  <conditionalFormatting sqref="E8">
    <cfRule type="expression" priority="4" dxfId="5">
      <formula>E8&gt;=Settings!$C$10</formula>
    </cfRule>
  </conditionalFormatting>
  <conditionalFormatting sqref="E10">
    <cfRule type="expression" priority="5" dxfId="5">
      <formula>E10&gt;=Settings!$C$10</formula>
    </cfRule>
  </conditionalFormatting>
  <conditionalFormatting sqref="E11">
    <cfRule type="expression" priority="6" dxfId="5">
      <formula>E11&gt;=Settings!$C$10</formula>
    </cfRule>
  </conditionalFormatting>
  <conditionalFormatting sqref="E12">
    <cfRule type="expression" priority="7" dxfId="5">
      <formula>E12&gt;=Settings!$C$10</formula>
    </cfRule>
  </conditionalFormatting>
  <conditionalFormatting sqref="E13">
    <cfRule type="expression" priority="8" dxfId="5">
      <formula>E13&gt;=Settings!$C$10</formula>
    </cfRule>
  </conditionalFormatting>
  <conditionalFormatting sqref="E14">
    <cfRule type="expression" priority="9" dxfId="5">
      <formula>E14&gt;=Settings!$C$10</formula>
    </cfRule>
  </conditionalFormatting>
  <conditionalFormatting sqref="E15">
    <cfRule type="expression" priority="10" dxfId="5">
      <formula>E15&gt;=Settings!$C$10</formula>
    </cfRule>
  </conditionalFormatting>
  <conditionalFormatting sqref="E18">
    <cfRule type="expression" priority="11" dxfId="5">
      <formula>E18&gt;=Settings!$C$10</formula>
    </cfRule>
  </conditionalFormatting>
  <conditionalFormatting sqref="E19">
    <cfRule type="expression" priority="12" dxfId="5">
      <formula>E19&gt;=Settings!$C$10</formula>
    </cfRule>
  </conditionalFormatting>
  <conditionalFormatting sqref="E20">
    <cfRule type="expression" priority="13" dxfId="5">
      <formula>E20&gt;=Settings!$C$10</formula>
    </cfRule>
  </conditionalFormatting>
  <conditionalFormatting sqref="E21">
    <cfRule type="expression" priority="14" dxfId="5">
      <formula>E21&gt;=Settings!$C$10</formula>
    </cfRule>
  </conditionalFormatting>
  <conditionalFormatting sqref="E22">
    <cfRule type="expression" priority="15" dxfId="5">
      <formula>E22&gt;=Settings!$C$10</formula>
    </cfRule>
  </conditionalFormatting>
  <conditionalFormatting sqref="E23">
    <cfRule type="expression" priority="16" dxfId="5">
      <formula>E23&gt;=Settings!$C$10</formula>
    </cfRule>
  </conditionalFormatting>
  <conditionalFormatting sqref="E26">
    <cfRule type="expression" priority="17" dxfId="5">
      <formula>E26&gt;=Settings!$C$10</formula>
    </cfRule>
  </conditionalFormatting>
  <conditionalFormatting sqref="E28">
    <cfRule type="expression" priority="18" dxfId="5">
      <formula>E28&gt;=Settings!$C$10</formula>
    </cfRule>
  </conditionalFormatting>
  <conditionalFormatting sqref="C56">
    <cfRule type="expression" priority="19" dxfId="0">
      <formula>AND(ISNUMBER(C56),ABS(C56)&gt;0.005)</formula>
    </cfRule>
    <cfRule type="expression" priority="20" dxfId="1">
      <formula>AND(ISNUMBER(C56),ABS(C56)&lt;=0.005)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legacyDrawing xmlns:r="http://schemas.openxmlformats.org/officeDocument/2006/relationships" r:id="anysvml"/>
</worksheet>
</file>

<file path=xl/worksheets/sheet11.xml><?xml version="1.0" encoding="utf-8"?>
<worksheet xmlns="http://schemas.openxmlformats.org/spreadsheetml/2006/main">
  <sheetPr>
    <tabColor rgb="000F4C3A"/>
    <outlinePr summaryBelow="1" summaryRight="1"/>
    <pageSetUpPr fitToPage="1"/>
  </sheetPr>
  <dimension ref="A1:J31"/>
  <sheetViews>
    <sheetView showGridLines="0" workbookViewId="0">
      <pane ySplit="4" topLeftCell="A5" activePane="bottomLeft" state="frozen"/>
      <selection pane="bottomLeft" activeCell="A1" sqref="A1"/>
    </sheetView>
  </sheetViews>
  <sheetFormatPr baseColWidth="8" defaultRowHeight="15"/>
  <cols>
    <col width="36" customWidth="1" min="1" max="1"/>
    <col width="14" customWidth="1" min="2" max="2"/>
    <col width="14" customWidth="1" min="3" max="3"/>
    <col width="13" customWidth="1" min="4" max="4"/>
    <col width="13" customWidth="1" min="5" max="5"/>
    <col width="13" customWidth="1" min="6" max="6"/>
    <col width="14" customWidth="1" min="7" max="7"/>
    <col width="12" customWidth="1" min="8" max="8"/>
    <col width="16" customWidth="1" min="9" max="9"/>
    <col width="44" customWidth="1" min="10" max="10"/>
  </cols>
  <sheetData>
    <row r="1" ht="26" customHeight="1">
      <c r="A1" s="1" t="inlineStr">
        <is>
          <t>Receivables aging, end of period (balances include VAT)</t>
        </is>
      </c>
      <c r="B1" s="2" t="n"/>
      <c r="C1" s="2" t="n"/>
      <c r="D1" s="2" t="n"/>
      <c r="E1" s="2" t="n"/>
      <c r="F1" s="2" t="n"/>
      <c r="G1" s="2" t="n"/>
      <c r="H1" s="2" t="n"/>
      <c r="I1" s="2" t="n"/>
      <c r="J1" s="2" t="n"/>
    </row>
    <row r="2">
      <c r="A2" s="23" t="inlineStr">
        <is>
          <t>Enter each customer's balance by age from the receivables ledger. Total and Over limit? calculate.</t>
        </is>
      </c>
    </row>
    <row r="3"/>
    <row r="4" ht="45" customHeight="1">
      <c r="A4" s="7" t="inlineStr">
        <is>
          <t>Customer</t>
        </is>
      </c>
      <c r="B4" s="7" t="inlineStr">
        <is>
          <t>Credit limit</t>
        </is>
      </c>
      <c r="C4" s="7" t="inlineStr">
        <is>
          <t>Current (0 to 30)</t>
        </is>
      </c>
      <c r="D4" s="7" t="inlineStr">
        <is>
          <t>31 to 60</t>
        </is>
      </c>
      <c r="E4" s="7" t="inlineStr">
        <is>
          <t>61 to 90</t>
        </is>
      </c>
      <c r="F4" s="7" t="inlineStr">
        <is>
          <t>Over 90</t>
        </is>
      </c>
      <c r="G4" s="7" t="inlineStr">
        <is>
          <t>Total</t>
        </is>
      </c>
      <c r="H4" s="7" t="inlineStr">
        <is>
          <t>Over limit?</t>
        </is>
      </c>
      <c r="I4" s="7" t="inlineStr">
        <is>
          <t>Withholding receipts outstanding</t>
        </is>
      </c>
      <c r="J4" s="7" t="inlineStr">
        <is>
          <t>Action</t>
        </is>
      </c>
    </row>
    <row r="5" ht="33" customHeight="1">
      <c r="A5" s="25" t="inlineStr">
        <is>
          <t>Dessie Star Distributors</t>
        </is>
      </c>
      <c r="B5" s="30" t="n">
        <v>3000000</v>
      </c>
      <c r="C5" s="30" t="n">
        <v>2645000</v>
      </c>
      <c r="D5" s="30" t="n">
        <v>300000</v>
      </c>
      <c r="E5" s="30" t="n">
        <v>0</v>
      </c>
      <c r="F5" s="30" t="n">
        <v>540000</v>
      </c>
      <c r="G5" s="31">
        <f>SUM(C5:F5)</f>
        <v/>
      </c>
      <c r="H5" s="27">
        <f>IF(G5&gt;B5,"Over limit","")</f>
        <v/>
      </c>
      <c r="I5" s="30" t="n"/>
      <c r="J5" s="45" t="inlineStr">
        <is>
          <t>Payment plan: 270,000 in weeks 2 and 4; no new credit above the limit</t>
        </is>
      </c>
    </row>
    <row r="6">
      <c r="A6" s="25" t="inlineStr">
        <is>
          <t>Merkato Grain Traders PLC</t>
        </is>
      </c>
      <c r="B6" s="30" t="n">
        <v>4000000</v>
      </c>
      <c r="C6" s="30" t="n">
        <v>1133000</v>
      </c>
      <c r="D6" s="30" t="n">
        <v>0</v>
      </c>
      <c r="E6" s="30" t="n">
        <v>0</v>
      </c>
      <c r="F6" s="30" t="n">
        <v>0</v>
      </c>
      <c r="G6" s="31">
        <f>SUM(C6:F6)</f>
        <v/>
      </c>
      <c r="H6" s="27">
        <f>IF(G6&gt;B6,"Over limit","")</f>
        <v/>
      </c>
      <c r="I6" s="30" t="n"/>
      <c r="J6" s="45" t="n"/>
    </row>
    <row r="7">
      <c r="A7" s="25" t="inlineStr">
        <is>
          <t>Woldia Family Supermarket</t>
        </is>
      </c>
      <c r="B7" s="30" t="n">
        <v>2500000</v>
      </c>
      <c r="C7" s="30" t="n">
        <v>1242000</v>
      </c>
      <c r="D7" s="30" t="n">
        <v>700000</v>
      </c>
      <c r="E7" s="30" t="n">
        <v>480000</v>
      </c>
      <c r="F7" s="30" t="n">
        <v>0</v>
      </c>
      <c r="G7" s="31">
        <f>SUM(C7:F7)</f>
        <v/>
      </c>
      <c r="H7" s="27">
        <f>IF(G7&gt;B7,"Over limit","")</f>
        <v/>
      </c>
      <c r="I7" s="30" t="n"/>
      <c r="J7" s="45" t="inlineStr">
        <is>
          <t>Collect the over-60-day balance</t>
        </is>
      </c>
    </row>
    <row r="8">
      <c r="A8" s="25" t="inlineStr">
        <is>
          <t>Bati Road Wholesalers</t>
        </is>
      </c>
      <c r="B8" s="30" t="n">
        <v>2500000</v>
      </c>
      <c r="C8" s="30" t="n">
        <v>1150000</v>
      </c>
      <c r="D8" s="30" t="n">
        <v>600000</v>
      </c>
      <c r="E8" s="30" t="n">
        <v>600000</v>
      </c>
      <c r="F8" s="30" t="n">
        <v>0</v>
      </c>
      <c r="G8" s="31">
        <f>SUM(C8:F8)</f>
        <v/>
      </c>
      <c r="H8" s="27">
        <f>IF(G8&gt;B8,"Over limit","")</f>
        <v/>
      </c>
      <c r="I8" s="30" t="n"/>
      <c r="J8" s="45" t="inlineStr">
        <is>
          <t>Collect the over-60-day balance</t>
        </is>
      </c>
    </row>
    <row r="9">
      <c r="A9" s="25" t="inlineStr">
        <is>
          <t>Borkena Dairy Farmers Cooperative</t>
        </is>
      </c>
      <c r="B9" s="30" t="n">
        <v>500000</v>
      </c>
      <c r="C9" s="30" t="n">
        <v>230000</v>
      </c>
      <c r="D9" s="30" t="n">
        <v>100000</v>
      </c>
      <c r="E9" s="30" t="n">
        <v>0</v>
      </c>
      <c r="F9" s="30" t="n">
        <v>0</v>
      </c>
      <c r="G9" s="31">
        <f>SUM(C9:F9)</f>
        <v/>
      </c>
      <c r="H9" s="27">
        <f>IF(G9&gt;B9,"Over limit","")</f>
        <v/>
      </c>
      <c r="I9" s="30" t="n"/>
      <c r="J9" s="45" t="n"/>
    </row>
    <row r="10">
      <c r="A10" s="25" t="inlineStr">
        <is>
          <t>Institutional customers (8 accounts)</t>
        </is>
      </c>
      <c r="B10" s="30" t="n">
        <v>500000</v>
      </c>
      <c r="C10" s="30" t="n">
        <v>0</v>
      </c>
      <c r="D10" s="30" t="n">
        <v>300000</v>
      </c>
      <c r="E10" s="30" t="n">
        <v>0</v>
      </c>
      <c r="F10" s="30" t="n">
        <v>0</v>
      </c>
      <c r="G10" s="31">
        <f>SUM(C10:F10)</f>
        <v/>
      </c>
      <c r="H10" s="27">
        <f>IF(G10&gt;B10,"Over limit","")</f>
        <v/>
      </c>
      <c r="I10" s="30" t="n"/>
      <c r="J10" s="45" t="n"/>
    </row>
    <row r="11">
      <c r="A11" s="9" t="inlineStr">
        <is>
          <t>Total</t>
        </is>
      </c>
      <c r="C11" s="41">
        <f>SUM(C5:C10)</f>
        <v/>
      </c>
      <c r="D11" s="41">
        <f>SUM(D5:D10)</f>
        <v/>
      </c>
      <c r="E11" s="41">
        <f>SUM(E5:E10)</f>
        <v/>
      </c>
      <c r="F11" s="41">
        <f>SUM(F5:F10)</f>
        <v/>
      </c>
      <c r="G11" s="41">
        <f>SUM(G5:G10)</f>
        <v/>
      </c>
    </row>
    <row r="12">
      <c r="A12" s="10" t="inlineStr">
        <is>
          <t>% of total</t>
        </is>
      </c>
      <c r="C12" s="37">
        <f>IF($G$11=0,0,C11/$G$11)</f>
        <v/>
      </c>
      <c r="D12" s="37">
        <f>IF($G$11=0,0,D11/$G$11)</f>
        <v/>
      </c>
      <c r="E12" s="37">
        <f>IF($G$11=0,0,E11/$G$11)</f>
        <v/>
      </c>
      <c r="F12" s="37">
        <f>IF($G$11=0,0,F11/$G$11)</f>
        <v/>
      </c>
      <c r="G12" s="37">
        <f>IF($G$11=0,0,G11/$G$11)</f>
        <v/>
      </c>
    </row>
    <row r="13"/>
    <row r="14">
      <c r="A14" s="10" t="inlineStr">
        <is>
          <t>Overdue (over 30 days)</t>
        </is>
      </c>
      <c r="B14" s="31">
        <f>D11+E11+F11</f>
        <v/>
      </c>
      <c r="C14" s="37">
        <f>IF(G11=0,0,B14/G11)</f>
        <v/>
      </c>
    </row>
    <row r="15">
      <c r="A15" s="10" t="inlineStr">
        <is>
          <t>Over 60 days</t>
        </is>
      </c>
      <c r="B15" s="31">
        <f>E11+F11</f>
        <v/>
      </c>
    </row>
    <row r="16">
      <c r="A16" s="4" t="inlineStr">
        <is>
          <t>Allowance for doubtful receivables (matrix)</t>
        </is>
      </c>
    </row>
    <row r="17" ht="20" customHeight="1">
      <c r="A17" s="7" t="inlineStr">
        <is>
          <t>Bucket</t>
        </is>
      </c>
      <c r="B17" s="7" t="inlineStr">
        <is>
          <t>Balance</t>
        </is>
      </c>
      <c r="C17" s="7" t="inlineStr">
        <is>
          <t>Rate</t>
        </is>
      </c>
      <c r="D17" s="7" t="inlineStr">
        <is>
          <t>Allowance</t>
        </is>
      </c>
    </row>
    <row r="18">
      <c r="A18" s="10" t="inlineStr">
        <is>
          <t>Current (0 to 30)</t>
        </is>
      </c>
      <c r="B18" s="31">
        <f>C11</f>
        <v/>
      </c>
      <c r="C18" s="33" t="n">
        <v>0.005</v>
      </c>
      <c r="D18" s="31">
        <f>ROUND(B18*C18,0)</f>
        <v/>
      </c>
    </row>
    <row r="19">
      <c r="A19" s="10" t="inlineStr">
        <is>
          <t>31 to 60</t>
        </is>
      </c>
      <c r="B19" s="31">
        <f>D11</f>
        <v/>
      </c>
      <c r="C19" s="33" t="n">
        <v>0.02</v>
      </c>
      <c r="D19" s="31">
        <f>ROUND(B19*C19,0)</f>
        <v/>
      </c>
    </row>
    <row r="20">
      <c r="A20" s="10" t="inlineStr">
        <is>
          <t>61 to 90</t>
        </is>
      </c>
      <c r="B20" s="31">
        <f>E11</f>
        <v/>
      </c>
      <c r="C20" s="33" t="n">
        <v>0.05</v>
      </c>
      <c r="D20" s="31">
        <f>ROUND(B20*C20,0)</f>
        <v/>
      </c>
    </row>
    <row r="21">
      <c r="A21" s="10" t="inlineStr">
        <is>
          <t>Over 90</t>
        </is>
      </c>
      <c r="B21" s="31">
        <f>F11</f>
        <v/>
      </c>
      <c r="C21" s="33" t="n">
        <v>0.1</v>
      </c>
      <c r="D21" s="31">
        <f>ROUND(B21*C21,0)</f>
        <v/>
      </c>
    </row>
    <row r="22">
      <c r="A22" s="9" t="inlineStr">
        <is>
          <t>Required allowance</t>
        </is>
      </c>
      <c r="D22" s="41">
        <f>SUM(D18:D21)</f>
        <v/>
      </c>
    </row>
    <row r="23">
      <c r="A23" s="10" t="inlineStr">
        <is>
          <t>Allowance brought forward</t>
        </is>
      </c>
      <c r="C23" s="30" t="n">
        <v>140000</v>
      </c>
    </row>
    <row r="24" ht="33" customHeight="1">
      <c r="A24" s="10" t="inlineStr">
        <is>
          <t>Charge for the month (required minus brought forward)</t>
        </is>
      </c>
      <c r="D24" s="31">
        <f>D22-C23</f>
        <v/>
      </c>
    </row>
    <row r="25" ht="33" customHeight="1">
      <c r="A25" s="10" t="inlineStr">
        <is>
          <t>Posted charge (account 6150 in Transactions)</t>
        </is>
      </c>
      <c r="D25" s="31">
        <f>SUMIFS(Transactions!$N$5:$N$1004,Transactions!$E$5:$E$1004,6150,Transactions!$B$5:$B$1004,Settings!$C$4)</f>
        <v/>
      </c>
    </row>
    <row r="26">
      <c r="A26" s="9" t="inlineStr">
        <is>
          <t>Check: charge minus posted charge</t>
        </is>
      </c>
      <c r="D26" s="41">
        <f>D24-D25</f>
        <v/>
      </c>
    </row>
    <row r="27">
      <c r="A27" s="9" t="inlineStr">
        <is>
          <t>Net receivables (total minus allowance)</t>
        </is>
      </c>
      <c r="D27" s="41">
        <f>G11-D22</f>
        <v/>
      </c>
    </row>
    <row r="28">
      <c r="A28" s="9" t="inlineStr">
        <is>
          <t>Check: net receivables minus BS!D8</t>
        </is>
      </c>
      <c r="D28" s="41">
        <f>D27-BS!D8</f>
        <v/>
      </c>
    </row>
    <row r="29">
      <c r="A29" s="14" t="inlineStr">
        <is>
          <t>Matrix rates are the company's own, from its last three years of collections; the charge is a non-cash cost in Credit loss allowance.</t>
        </is>
      </c>
    </row>
    <row r="30"/>
    <row r="31" ht="22" customHeight="1">
      <c r="A31" s="11" t="inlineStr">
        <is>
          <t>Investopia Academy · A platform by Erudite Africa Investments PLC · investopia.et</t>
        </is>
      </c>
      <c r="B31" s="12" t="n"/>
      <c r="C31" s="12" t="n"/>
      <c r="D31" s="12" t="n"/>
      <c r="E31" s="12" t="n"/>
      <c r="F31" s="12" t="n"/>
      <c r="G31" s="12" t="n"/>
      <c r="H31" s="12" t="n"/>
      <c r="I31" s="12" t="n"/>
      <c r="J31" s="12" t="n"/>
    </row>
  </sheetData>
  <mergeCells count="2">
    <mergeCell ref="A29:J29"/>
    <mergeCell ref="A31:J31"/>
  </mergeCells>
  <conditionalFormatting sqref="F5:F10">
    <cfRule type="expression" priority="1" dxfId="2">
      <formula>F5&gt;0</formula>
    </cfRule>
  </conditionalFormatting>
  <conditionalFormatting sqref="E5:E10">
    <cfRule type="expression" priority="2" dxfId="3">
      <formula>E5&gt;0</formula>
    </cfRule>
  </conditionalFormatting>
  <conditionalFormatting sqref="H5:H10">
    <cfRule type="expression" priority="3" dxfId="0">
      <formula>H5="Over limit"</formula>
    </cfRule>
  </conditionalFormatting>
  <conditionalFormatting sqref="D26">
    <cfRule type="expression" priority="4" dxfId="0">
      <formula>AND(ISNUMBER(D26),ABS(D26)&gt;0.005)</formula>
    </cfRule>
    <cfRule type="expression" priority="5" dxfId="1">
      <formula>AND(ISNUMBER(D26),ABS(D26)&lt;=0.005)</formula>
    </cfRule>
  </conditionalFormatting>
  <conditionalFormatting sqref="D28">
    <cfRule type="expression" priority="6" dxfId="0">
      <formula>AND(ISNUMBER(D28),ABS(D28)&gt;0.005)</formula>
    </cfRule>
    <cfRule type="expression" priority="7" dxfId="1">
      <formula>AND(ISNUMBER(D28),ABS(D28)&lt;=0.005)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tableParts count="1">
    <tablePart xmlns:r="http://schemas.openxmlformats.org/officeDocument/2006/relationships" r:id="rId1"/>
  </tableParts>
</worksheet>
</file>

<file path=xl/worksheets/sheet12.xml><?xml version="1.0" encoding="utf-8"?>
<worksheet xmlns="http://schemas.openxmlformats.org/spreadsheetml/2006/main">
  <sheetPr>
    <tabColor rgb="000F4C3A"/>
    <outlinePr summaryBelow="1" summaryRight="1"/>
    <pageSetUpPr fitToPage="1"/>
  </sheetPr>
  <dimension ref="A1:M34"/>
  <sheetViews>
    <sheetView showGridLines="0" workbookViewId="0">
      <pane ySplit="4" topLeftCell="A5" activePane="bottomLeft" state="frozen"/>
      <selection pane="bottomLeft" activeCell="A1" sqref="A1"/>
    </sheetView>
  </sheetViews>
  <sheetFormatPr baseColWidth="8" defaultRowHeight="15"/>
  <cols>
    <col width="8" customWidth="1" min="1" max="1"/>
    <col width="30" customWidth="1" min="2" max="2"/>
    <col width="9" customWidth="1" min="3" max="3"/>
    <col width="11" customWidth="1" min="4" max="4"/>
    <col width="11" customWidth="1" min="5" max="5"/>
    <col width="10" customWidth="1" min="6" max="6"/>
    <col width="9" customWidth="1" min="7" max="7"/>
    <col width="11" customWidth="1" min="8" max="8"/>
    <col width="12" customWidth="1" min="9" max="9"/>
    <col width="14" customWidth="1" min="10" max="10"/>
    <col width="12" customWidth="1" min="11" max="11"/>
    <col width="18" customWidth="1" min="12" max="12"/>
    <col width="16" customWidth="1" min="13" max="13"/>
  </cols>
  <sheetData>
    <row r="1" ht="26" customHeight="1">
      <c r="A1" s="1" t="inlineStr">
        <is>
          <t>Stock register, count and stock card</t>
        </is>
      </c>
      <c r="B1" s="2" t="n"/>
      <c r="C1" s="2" t="n"/>
      <c r="D1" s="2" t="n"/>
      <c r="E1" s="2" t="n"/>
      <c r="F1" s="2" t="n"/>
      <c r="G1" s="2" t="n"/>
      <c r="H1" s="2" t="n"/>
      <c r="I1" s="2" t="n"/>
      <c r="J1" s="2" t="n"/>
      <c r="K1" s="2" t="n"/>
      <c r="L1" s="2" t="n"/>
      <c r="M1" s="2" t="n"/>
    </row>
    <row r="2">
      <c r="A2" s="23" t="inlineStr">
        <is>
          <t>Enter book and counted quantities and unit costs. Gap, value after count and the flag calculate (tolerance in Settings!C21:C22).</t>
        </is>
      </c>
    </row>
    <row r="3"/>
    <row r="4" ht="33" customHeight="1">
      <c r="A4" s="7" t="inlineStr">
        <is>
          <t>Code</t>
        </is>
      </c>
      <c r="B4" s="7" t="inlineStr">
        <is>
          <t>Item</t>
        </is>
      </c>
      <c r="C4" s="7" t="inlineStr">
        <is>
          <t>Unit</t>
        </is>
      </c>
      <c r="D4" s="7" t="inlineStr">
        <is>
          <t>Book qty</t>
        </is>
      </c>
      <c r="E4" s="7" t="inlineStr">
        <is>
          <t>Counted qty</t>
        </is>
      </c>
      <c r="F4" s="7" t="inlineStr">
        <is>
          <t>Gap qty</t>
        </is>
      </c>
      <c r="G4" s="7" t="inlineStr">
        <is>
          <t>Gap %</t>
        </is>
      </c>
      <c r="H4" s="7" t="inlineStr">
        <is>
          <t>Unit cost</t>
        </is>
      </c>
      <c r="I4" s="7" t="inlineStr">
        <is>
          <t>Gap value</t>
        </is>
      </c>
      <c r="J4" s="7" t="inlineStr">
        <is>
          <t>Value after count</t>
        </is>
      </c>
      <c r="K4" s="7" t="inlineStr">
        <is>
          <t>Flag</t>
        </is>
      </c>
      <c r="L4" s="7" t="inlineStr">
        <is>
          <t>Count team</t>
        </is>
      </c>
      <c r="M4" s="7" t="inlineStr">
        <is>
          <t>Approved by</t>
        </is>
      </c>
    </row>
    <row r="5">
      <c r="A5" s="25" t="inlineStr">
        <is>
          <t>W01</t>
        </is>
      </c>
      <c r="B5" s="25" t="inlineStr">
        <is>
          <t>Wheat</t>
        </is>
      </c>
      <c r="C5" s="25" t="inlineStr">
        <is>
          <t>quintal</t>
        </is>
      </c>
      <c r="D5" s="29" t="n">
        <v>600</v>
      </c>
      <c r="E5" s="29" t="n">
        <v>600</v>
      </c>
      <c r="F5" s="46">
        <f>E5-D5</f>
        <v/>
      </c>
      <c r="G5" s="37">
        <f>IF(D5=0,"",F5/D5)</f>
        <v/>
      </c>
      <c r="H5" s="30" t="n">
        <v>5500</v>
      </c>
      <c r="I5" s="31">
        <f>F5*H5</f>
        <v/>
      </c>
      <c r="J5" s="31">
        <f>E5*H5</f>
        <v/>
      </c>
      <c r="K5" s="44">
        <f>IF(OR(ABS(G5)&gt;Settings!$C$21,ABS(I5)&gt;=Settings!$C$22),"Investigate","OK")</f>
        <v/>
      </c>
      <c r="L5" s="25" t="inlineStr">
        <is>
          <t>Getachew and Kedir</t>
        </is>
      </c>
      <c r="M5" s="25" t="inlineStr">
        <is>
          <t>Hiwot</t>
        </is>
      </c>
    </row>
    <row r="6">
      <c r="A6" s="25" t="inlineStr">
        <is>
          <t>F01</t>
        </is>
      </c>
      <c r="B6" s="25" t="inlineStr">
        <is>
          <t>Finished flour</t>
        </is>
      </c>
      <c r="C6" s="25" t="inlineStr">
        <is>
          <t>quintal</t>
        </is>
      </c>
      <c r="D6" s="29" t="n">
        <v>250</v>
      </c>
      <c r="E6" s="29" t="n">
        <v>250</v>
      </c>
      <c r="F6" s="46">
        <f>E6-D6</f>
        <v/>
      </c>
      <c r="G6" s="37">
        <f>IF(D6=0,"",F6/D6)</f>
        <v/>
      </c>
      <c r="H6" s="30" t="n">
        <v>7600</v>
      </c>
      <c r="I6" s="31">
        <f>F6*H6</f>
        <v/>
      </c>
      <c r="J6" s="31">
        <f>E6*H6</f>
        <v/>
      </c>
      <c r="K6" s="44">
        <f>IF(OR(ABS(G6)&gt;Settings!$C$21,ABS(I6)&gt;=Settings!$C$22),"Investigate","OK")</f>
        <v/>
      </c>
      <c r="L6" s="25" t="inlineStr">
        <is>
          <t>Getachew and Kedir</t>
        </is>
      </c>
      <c r="M6" s="25" t="inlineStr">
        <is>
          <t>Hiwot</t>
        </is>
      </c>
    </row>
    <row r="7">
      <c r="A7" s="25" t="inlineStr">
        <is>
          <t>P01</t>
        </is>
      </c>
      <c r="B7" s="25" t="inlineStr">
        <is>
          <t>Finished pasta</t>
        </is>
      </c>
      <c r="C7" s="25" t="inlineStr">
        <is>
          <t>carton</t>
        </is>
      </c>
      <c r="D7" s="29" t="n">
        <v>1040</v>
      </c>
      <c r="E7" s="29" t="n">
        <v>1000</v>
      </c>
      <c r="F7" s="46">
        <f>E7-D7</f>
        <v/>
      </c>
      <c r="G7" s="37">
        <f>IF(D7=0,"",F7/D7)</f>
        <v/>
      </c>
      <c r="H7" s="30" t="n">
        <v>1400</v>
      </c>
      <c r="I7" s="31">
        <f>F7*H7</f>
        <v/>
      </c>
      <c r="J7" s="31">
        <f>E7*H7</f>
        <v/>
      </c>
      <c r="K7" s="44">
        <f>IF(OR(ABS(G7)&gt;Settings!$C$21,ABS(I7)&gt;=Settings!$C$22),"Investigate","OK")</f>
        <v/>
      </c>
      <c r="L7" s="25" t="inlineStr">
        <is>
          <t>Getachew and Kedir</t>
        </is>
      </c>
      <c r="M7" s="25" t="inlineStr">
        <is>
          <t>Hiwot</t>
        </is>
      </c>
    </row>
    <row r="8">
      <c r="A8" s="25" t="inlineStr">
        <is>
          <t>K01</t>
        </is>
      </c>
      <c r="B8" s="25" t="inlineStr">
        <is>
          <t>Printed flour bags</t>
        </is>
      </c>
      <c r="C8" s="25" t="inlineStr">
        <is>
          <t>bag</t>
        </is>
      </c>
      <c r="D8" s="29" t="n">
        <v>60250</v>
      </c>
      <c r="E8" s="29" t="n">
        <v>60000</v>
      </c>
      <c r="F8" s="46">
        <f>E8-D8</f>
        <v/>
      </c>
      <c r="G8" s="37">
        <f>IF(D8=0,"",F8/D8)</f>
        <v/>
      </c>
      <c r="H8" s="30" t="n">
        <v>4</v>
      </c>
      <c r="I8" s="31">
        <f>F8*H8</f>
        <v/>
      </c>
      <c r="J8" s="31">
        <f>E8*H8</f>
        <v/>
      </c>
      <c r="K8" s="44">
        <f>IF(OR(ABS(G8)&gt;Settings!$C$21,ABS(I8)&gt;=Settings!$C$22),"Investigate","OK")</f>
        <v/>
      </c>
      <c r="L8" s="25" t="inlineStr">
        <is>
          <t>Getachew and Kedir</t>
        </is>
      </c>
      <c r="M8" s="25" t="inlineStr">
        <is>
          <t>Hiwot</t>
        </is>
      </c>
    </row>
    <row r="9">
      <c r="A9" s="25" t="inlineStr">
        <is>
          <t>K02</t>
        </is>
      </c>
      <c r="B9" s="25" t="inlineStr">
        <is>
          <t>Pasta film and flat cartons</t>
        </is>
      </c>
      <c r="C9" s="25" t="inlineStr">
        <is>
          <t>carton</t>
        </is>
      </c>
      <c r="D9" s="29" t="n">
        <v>12000</v>
      </c>
      <c r="E9" s="29" t="n">
        <v>12000</v>
      </c>
      <c r="F9" s="46">
        <f>E9-D9</f>
        <v/>
      </c>
      <c r="G9" s="37">
        <f>IF(D9=0,"",F9/D9)</f>
        <v/>
      </c>
      <c r="H9" s="30" t="n">
        <v>20</v>
      </c>
      <c r="I9" s="31">
        <f>F9*H9</f>
        <v/>
      </c>
      <c r="J9" s="31">
        <f>E9*H9</f>
        <v/>
      </c>
      <c r="K9" s="44">
        <f>IF(OR(ABS(G9)&gt;Settings!$C$21,ABS(I9)&gt;=Settings!$C$22),"Investigate","OK")</f>
        <v/>
      </c>
      <c r="L9" s="25" t="inlineStr">
        <is>
          <t>Getachew and Kedir</t>
        </is>
      </c>
      <c r="M9" s="25" t="inlineStr">
        <is>
          <t>Hiwot</t>
        </is>
      </c>
    </row>
    <row r="10">
      <c r="A10" s="25" t="inlineStr">
        <is>
          <t>S01</t>
        </is>
      </c>
      <c r="B10" s="25" t="inlineStr">
        <is>
          <t>Spare parts and consumables</t>
        </is>
      </c>
      <c r="C10" s="25" t="inlineStr">
        <is>
          <t>lot</t>
        </is>
      </c>
      <c r="D10" s="29" t="n">
        <v>1</v>
      </c>
      <c r="E10" s="29" t="n">
        <v>1</v>
      </c>
      <c r="F10" s="46">
        <f>E10-D10</f>
        <v/>
      </c>
      <c r="G10" s="37">
        <f>IF(D10=0,"",F10/D10)</f>
        <v/>
      </c>
      <c r="H10" s="30" t="n">
        <v>300000</v>
      </c>
      <c r="I10" s="31">
        <f>F10*H10</f>
        <v/>
      </c>
      <c r="J10" s="31">
        <f>E10*H10</f>
        <v/>
      </c>
      <c r="K10" s="44">
        <f>IF(OR(ABS(G10)&gt;Settings!$C$21,ABS(I10)&gt;=Settings!$C$22),"Investigate","OK")</f>
        <v/>
      </c>
      <c r="L10" s="25" t="inlineStr">
        <is>
          <t>Getachew and Kedir</t>
        </is>
      </c>
      <c r="M10" s="25" t="inlineStr">
        <is>
          <t>Hiwot</t>
        </is>
      </c>
    </row>
    <row r="11">
      <c r="B11" s="9" t="inlineStr">
        <is>
          <t>Total</t>
        </is>
      </c>
      <c r="I11" s="41">
        <f>SUM(I5:I10)</f>
        <v/>
      </c>
      <c r="J11" s="41">
        <f>SUM(J5:J10)</f>
        <v/>
      </c>
    </row>
    <row r="12">
      <c r="B12" s="10" t="inlineStr">
        <is>
          <t>Book value before count</t>
        </is>
      </c>
      <c r="J12" s="31">
        <f>SUMPRODUCT(D5:D10,H5:H10)</f>
        <v/>
      </c>
    </row>
    <row r="13" ht="33" customHeight="1">
      <c r="B13" s="10" t="inlineStr">
        <is>
          <t>Posted stock count adjustment (account 5020)</t>
        </is>
      </c>
      <c r="J13" s="31">
        <f>SUMIFS(Transactions!$N$5:$N$1004,Transactions!$E$5:$E$1004,5020,Transactions!$B$5:$B$1004,Settings!$C$4)</f>
        <v/>
      </c>
    </row>
    <row r="14" ht="33" customHeight="1">
      <c r="B14" s="9" t="inlineStr">
        <is>
          <t>Check: total gap + posted adjustment</t>
        </is>
      </c>
      <c r="J14" s="41">
        <f>I11+J13</f>
        <v/>
      </c>
    </row>
    <row r="15"/>
    <row r="16">
      <c r="A16" s="4" t="inlineStr">
        <is>
          <t>Wheat stock card, weighted average (FIFO for comparison)</t>
        </is>
      </c>
    </row>
    <row r="17" ht="33" customHeight="1">
      <c r="B17" s="7" t="inlineStr">
        <is>
          <t>Item</t>
        </is>
      </c>
      <c r="C17" s="7" t="inlineStr">
        <is>
          <t>Quantity (quintals)</t>
        </is>
      </c>
      <c r="D17" s="7" t="inlineStr">
        <is>
          <t>Unit cost</t>
        </is>
      </c>
      <c r="E17" s="7" t="inlineStr">
        <is>
          <t>Value, weighted average</t>
        </is>
      </c>
      <c r="F17" s="7" t="inlineStr">
        <is>
          <t>Value, FIFO</t>
        </is>
      </c>
    </row>
    <row r="18">
      <c r="B18" s="10" t="inlineStr">
        <is>
          <t>Opening stock</t>
        </is>
      </c>
      <c r="C18" s="29" t="n">
        <v>500</v>
      </c>
      <c r="D18" s="30" t="n">
        <v>5400</v>
      </c>
      <c r="E18" s="31">
        <f>C18*D18</f>
        <v/>
      </c>
      <c r="F18" s="31">
        <f>E18</f>
        <v/>
      </c>
    </row>
    <row r="19">
      <c r="B19" s="10" t="inlineStr">
        <is>
          <t>Purchases</t>
        </is>
      </c>
      <c r="C19" s="29" t="n">
        <v>1000</v>
      </c>
      <c r="D19" s="30" t="n">
        <v>5550</v>
      </c>
      <c r="E19" s="31">
        <f>C19*D19</f>
        <v/>
      </c>
      <c r="F19" s="31">
        <f>E19</f>
        <v/>
      </c>
    </row>
    <row r="20">
      <c r="B20" s="9" t="inlineStr">
        <is>
          <t>Available</t>
        </is>
      </c>
      <c r="C20" s="47">
        <f>C18+C19</f>
        <v/>
      </c>
      <c r="D20" s="41">
        <f>IF(C20=0,0,E20/C20)</f>
        <v/>
      </c>
      <c r="E20" s="41">
        <f>E18+E19</f>
        <v/>
      </c>
      <c r="F20" s="41">
        <f>F18+F19</f>
        <v/>
      </c>
    </row>
    <row r="21">
      <c r="B21" s="10" t="inlineStr">
        <is>
          <t>Issued to production</t>
        </is>
      </c>
      <c r="C21" s="29" t="n">
        <v>900</v>
      </c>
      <c r="D21" s="31">
        <f>D20</f>
        <v/>
      </c>
      <c r="E21" s="31">
        <f>C21*D21</f>
        <v/>
      </c>
      <c r="F21" s="31">
        <f>MIN(C21,C18)*D18+MAX(0,C21-C18)*D19</f>
        <v/>
      </c>
    </row>
    <row r="22">
      <c r="B22" s="9" t="inlineStr">
        <is>
          <t>Closing stock</t>
        </is>
      </c>
      <c r="C22" s="47">
        <f>C20-C21</f>
        <v/>
      </c>
      <c r="D22" s="8" t="n"/>
      <c r="E22" s="41">
        <f>E20-E21</f>
        <v/>
      </c>
      <c r="F22" s="41">
        <f>F20-F21</f>
        <v/>
      </c>
    </row>
    <row r="23"/>
    <row r="24">
      <c r="A24" s="4" t="inlineStr">
        <is>
          <t>Wheat reorder level</t>
        </is>
      </c>
    </row>
    <row r="25">
      <c r="B25" s="10" t="inlineStr">
        <is>
          <t>Days in the period</t>
        </is>
      </c>
      <c r="C25" s="24" t="n">
        <v>30</v>
      </c>
    </row>
    <row r="26">
      <c r="B26" s="10" t="inlineStr">
        <is>
          <t>Daily usage (quintals)</t>
        </is>
      </c>
      <c r="C26" s="48">
        <f>C21/C25</f>
        <v/>
      </c>
    </row>
    <row r="27">
      <c r="B27" s="10" t="inlineStr">
        <is>
          <t>Supplier lead time (days)</t>
        </is>
      </c>
      <c r="C27" s="24" t="n">
        <v>7</v>
      </c>
    </row>
    <row r="28">
      <c r="B28" s="10" t="inlineStr">
        <is>
          <t>Safety stock (days)</t>
        </is>
      </c>
      <c r="C28" s="24" t="n">
        <v>5</v>
      </c>
    </row>
    <row r="29">
      <c r="B29" s="10" t="inlineStr">
        <is>
          <t>Safety stock (quintals)</t>
        </is>
      </c>
      <c r="C29" s="46">
        <f>C28*C26</f>
        <v/>
      </c>
    </row>
    <row r="30">
      <c r="B30" s="9" t="inlineStr">
        <is>
          <t>Reorder level (quintals)</t>
        </is>
      </c>
      <c r="C30" s="47">
        <f>C26*C27+C29</f>
        <v/>
      </c>
    </row>
    <row r="31">
      <c r="B31" s="10" t="inlineStr">
        <is>
          <t>Closing wheat quantity (counted)</t>
        </is>
      </c>
      <c r="C31" s="46">
        <f>E5</f>
        <v/>
      </c>
    </row>
    <row r="32">
      <c r="B32" s="9" t="inlineStr">
        <is>
          <t>Days of cover</t>
        </is>
      </c>
      <c r="C32" s="49">
        <f>IF(C26=0,0,C31/C26)</f>
        <v/>
      </c>
    </row>
    <row r="33"/>
    <row r="34" ht="22" customHeight="1">
      <c r="A34" s="11" t="inlineStr">
        <is>
          <t>Investopia Academy · A platform by Erudite Africa Investments PLC · investopia.et</t>
        </is>
      </c>
      <c r="B34" s="12" t="n"/>
      <c r="C34" s="12" t="n"/>
      <c r="D34" s="12" t="n"/>
      <c r="E34" s="12" t="n"/>
      <c r="F34" s="12" t="n"/>
      <c r="G34" s="12" t="n"/>
      <c r="H34" s="12" t="n"/>
      <c r="I34" s="12" t="n"/>
      <c r="J34" s="12" t="n"/>
      <c r="K34" s="12" t="n"/>
      <c r="L34" s="12" t="n"/>
      <c r="M34" s="12" t="n"/>
    </row>
  </sheetData>
  <mergeCells count="1">
    <mergeCell ref="A34:M34"/>
  </mergeCells>
  <conditionalFormatting sqref="K5:K10">
    <cfRule type="expression" priority="1" dxfId="0">
      <formula>K5="Investigate"</formula>
    </cfRule>
  </conditionalFormatting>
  <conditionalFormatting sqref="J14">
    <cfRule type="expression" priority="2" dxfId="0">
      <formula>AND(ISNUMBER(J14),ABS(J14)&gt;0.005)</formula>
    </cfRule>
    <cfRule type="expression" priority="3" dxfId="1">
      <formula>AND(ISNUMBER(J14),ABS(J14)&lt;=0.005)</formula>
    </cfRule>
  </conditionalFormatting>
  <conditionalFormatting sqref="C31">
    <cfRule type="expression" priority="4" dxfId="3">
      <formula>C31&lt;C30</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0F4C3A"/>
    <outlinePr summaryBelow="1" summaryRight="1"/>
    <pageSetUpPr fitToPage="1"/>
  </sheetPr>
  <dimension ref="A1:Q21"/>
  <sheetViews>
    <sheetView showGridLines="0" workbookViewId="0">
      <pane ySplit="4" topLeftCell="A5" activePane="bottomLeft" state="frozen"/>
      <selection pane="bottomLeft" activeCell="A1" sqref="A1"/>
    </sheetView>
  </sheetViews>
  <sheetFormatPr baseColWidth="8" defaultRowHeight="15"/>
  <cols>
    <col width="12" customWidth="1" min="1" max="1"/>
    <col width="44" customWidth="1" min="2" max="2"/>
    <col width="18" customWidth="1" min="3" max="3"/>
    <col width="12" customWidth="1" min="4" max="4"/>
    <col width="13" customWidth="1" min="5" max="5"/>
    <col width="9" customWidth="1" min="6" max="6"/>
    <col width="12" customWidth="1" min="7" max="7"/>
    <col width="12" customWidth="1" min="8" max="8"/>
    <col width="11" customWidth="1" min="9" max="9"/>
    <col width="14" customWidth="1" min="10" max="10"/>
    <col width="13" customWidth="1" min="11" max="11"/>
    <col width="14" customWidth="1" min="12" max="12"/>
    <col width="8" customWidth="1" min="13" max="13"/>
    <col width="13" customWidth="1" min="14" max="14"/>
    <col width="12" customWidth="1" min="15" max="15"/>
    <col width="13" customWidth="1" min="16" max="16"/>
    <col width="30" customWidth="1" min="17" max="17"/>
  </cols>
  <sheetData>
    <row r="1" ht="26" customHeight="1">
      <c r="A1" s="1" t="inlineStr">
        <is>
          <t>Fixed asset register (Birr)</t>
        </is>
      </c>
      <c r="B1" s="2" t="n"/>
      <c r="C1" s="2" t="n"/>
      <c r="D1" s="2" t="n"/>
      <c r="E1" s="2" t="n"/>
      <c r="F1" s="2" t="n"/>
      <c r="G1" s="2" t="n"/>
      <c r="H1" s="2" t="n"/>
      <c r="I1" s="2" t="n"/>
      <c r="J1" s="2" t="n"/>
      <c r="K1" s="2" t="n"/>
      <c r="L1" s="2" t="n"/>
      <c r="M1" s="2" t="n"/>
      <c r="N1" s="2" t="n"/>
      <c r="O1" s="2" t="n"/>
      <c r="P1" s="2" t="n"/>
      <c r="Q1" s="2" t="n"/>
    </row>
    <row r="2">
      <c r="A2" s="23" t="inlineStr">
        <is>
          <t>One row per asset. Monthly depreciation is 0 until the period after the asset is available for use. Enter months depreciated to date and verification dates.</t>
        </is>
      </c>
    </row>
    <row r="3"/>
    <row r="4" ht="48" customHeight="1">
      <c r="A4" s="7" t="inlineStr">
        <is>
          <t>Tag</t>
        </is>
      </c>
      <c r="B4" s="7" t="inlineStr">
        <is>
          <t>Asset</t>
        </is>
      </c>
      <c r="C4" s="7" t="inlineStr">
        <is>
          <t>Location</t>
        </is>
      </c>
      <c r="D4" s="7" t="inlineStr">
        <is>
          <t>Date available for use</t>
        </is>
      </c>
      <c r="E4" s="7" t="inlineStr">
        <is>
          <t>Cost</t>
        </is>
      </c>
      <c r="F4" s="7" t="inlineStr">
        <is>
          <t>Useful life (years)</t>
        </is>
      </c>
      <c r="G4" s="7" t="inlineStr">
        <is>
          <t>Method</t>
        </is>
      </c>
      <c r="H4" s="7" t="inlineStr">
        <is>
          <t>Monthly depreciation</t>
        </is>
      </c>
      <c r="I4" s="7" t="inlineStr">
        <is>
          <t>Months depreciated to date</t>
        </is>
      </c>
      <c r="J4" s="7" t="inlineStr">
        <is>
          <t>Accumulated depreciation</t>
        </is>
      </c>
      <c r="K4" s="7" t="inlineStr">
        <is>
          <t>Net book value</t>
        </is>
      </c>
      <c r="L4" s="7" t="inlineStr">
        <is>
          <t>Tax class</t>
        </is>
      </c>
      <c r="M4" s="7" t="inlineStr">
        <is>
          <t>Tax rate</t>
        </is>
      </c>
      <c r="N4" s="7" t="inlineStr">
        <is>
          <t>Annual tax depreciation</t>
        </is>
      </c>
      <c r="O4" s="7" t="inlineStr">
        <is>
          <t>Last verified</t>
        </is>
      </c>
      <c r="P4" s="7" t="inlineStr">
        <is>
          <t>Insured value</t>
        </is>
      </c>
      <c r="Q4" s="7" t="inlineStr">
        <is>
          <t>Posted to (line)</t>
        </is>
      </c>
    </row>
    <row r="5">
      <c r="A5" s="25" t="inlineStr">
        <is>
          <t>KFP-B01</t>
        </is>
      </c>
      <c r="B5" s="45" t="inlineStr">
        <is>
          <t>Factory building</t>
        </is>
      </c>
      <c r="C5" s="25" t="inlineStr">
        <is>
          <t>Factory, Kombolcha</t>
        </is>
      </c>
      <c r="D5" s="26" t="n">
        <v>44112</v>
      </c>
      <c r="E5" s="30" t="n">
        <v>9600000</v>
      </c>
      <c r="F5" s="24" t="n">
        <v>40</v>
      </c>
      <c r="G5" s="25" t="inlineStr">
        <is>
          <t>Straight line</t>
        </is>
      </c>
      <c r="H5" s="31">
        <f>IF(OR(D5="",D5&gt;=Settings!$C$26),0,ROUND(E5/F5/12,0))</f>
        <v/>
      </c>
      <c r="I5" s="24" t="n">
        <v>72</v>
      </c>
      <c r="J5" s="31">
        <f>H5*I5</f>
        <v/>
      </c>
      <c r="K5" s="31">
        <f>E5-J5</f>
        <v/>
      </c>
      <c r="L5" s="25" t="inlineStr">
        <is>
          <t>Buildings</t>
        </is>
      </c>
      <c r="M5" s="50" t="n">
        <v>0.05</v>
      </c>
      <c r="N5" s="31">
        <f>ROUND(E5*M5,0)</f>
        <v/>
      </c>
      <c r="O5" s="26" t="n">
        <v>46210</v>
      </c>
      <c r="P5" s="30" t="n">
        <v>12000000</v>
      </c>
      <c r="Q5" s="25" t="inlineStr">
        <is>
          <t>Factory depreciation</t>
        </is>
      </c>
    </row>
    <row r="6">
      <c r="A6" s="25" t="inlineStr">
        <is>
          <t>KFP-M01</t>
        </is>
      </c>
      <c r="B6" s="45" t="inlineStr">
        <is>
          <t>Milling line</t>
        </is>
      </c>
      <c r="C6" s="25" t="inlineStr">
        <is>
          <t>Factory, Kombolcha</t>
        </is>
      </c>
      <c r="D6" s="26" t="n">
        <v>44112</v>
      </c>
      <c r="E6" s="30" t="n">
        <v>10800000</v>
      </c>
      <c r="F6" s="24" t="n">
        <v>10</v>
      </c>
      <c r="G6" s="25" t="inlineStr">
        <is>
          <t>Straight line</t>
        </is>
      </c>
      <c r="H6" s="31">
        <f>IF(OR(D6="",D6&gt;=Settings!$C$26),0,ROUND(E6/F6/12,0))</f>
        <v/>
      </c>
      <c r="I6" s="24" t="n">
        <v>72</v>
      </c>
      <c r="J6" s="31">
        <f>H6*I6</f>
        <v/>
      </c>
      <c r="K6" s="31">
        <f>E6-J6</f>
        <v/>
      </c>
      <c r="L6" s="25" t="inlineStr">
        <is>
          <t>Other assets</t>
        </is>
      </c>
      <c r="M6" s="50" t="n">
        <v>0.15</v>
      </c>
      <c r="N6" s="31">
        <f>ROUND(E6*M6,0)</f>
        <v/>
      </c>
      <c r="O6" s="26" t="n">
        <v>46210</v>
      </c>
      <c r="P6" s="30" t="n">
        <v>9000000</v>
      </c>
      <c r="Q6" s="25" t="inlineStr">
        <is>
          <t>Factory depreciation</t>
        </is>
      </c>
    </row>
    <row r="7">
      <c r="A7" s="25" t="inlineStr">
        <is>
          <t>KFP-M02</t>
        </is>
      </c>
      <c r="B7" s="45" t="inlineStr">
        <is>
          <t>Pasta line</t>
        </is>
      </c>
      <c r="C7" s="25" t="inlineStr">
        <is>
          <t>Factory, Kombolcha</t>
        </is>
      </c>
      <c r="D7" s="26" t="n">
        <v>45204</v>
      </c>
      <c r="E7" s="30" t="n">
        <v>4800000</v>
      </c>
      <c r="F7" s="24" t="n">
        <v>10</v>
      </c>
      <c r="G7" s="25" t="inlineStr">
        <is>
          <t>Straight line</t>
        </is>
      </c>
      <c r="H7" s="31">
        <f>IF(OR(D7="",D7&gt;=Settings!$C$26),0,ROUND(E7/F7/12,0))</f>
        <v/>
      </c>
      <c r="I7" s="24" t="n">
        <v>36</v>
      </c>
      <c r="J7" s="31">
        <f>H7*I7</f>
        <v/>
      </c>
      <c r="K7" s="31">
        <f>E7-J7</f>
        <v/>
      </c>
      <c r="L7" s="25" t="inlineStr">
        <is>
          <t>Other assets</t>
        </is>
      </c>
      <c r="M7" s="50" t="n">
        <v>0.15</v>
      </c>
      <c r="N7" s="31">
        <f>ROUND(E7*M7,0)</f>
        <v/>
      </c>
      <c r="O7" s="26" t="n">
        <v>46210</v>
      </c>
      <c r="P7" s="30" t="n">
        <v>4500000</v>
      </c>
      <c r="Q7" s="25" t="inlineStr">
        <is>
          <t>Factory depreciation</t>
        </is>
      </c>
    </row>
    <row r="8">
      <c r="A8" s="25" t="inlineStr">
        <is>
          <t>KFP-M03</t>
        </is>
      </c>
      <c r="B8" s="45" t="inlineStr">
        <is>
          <t>Generator</t>
        </is>
      </c>
      <c r="C8" s="25" t="inlineStr">
        <is>
          <t>Factory, Kombolcha</t>
        </is>
      </c>
      <c r="D8" s="26" t="n">
        <v>44840</v>
      </c>
      <c r="E8" s="30" t="n">
        <v>1200000</v>
      </c>
      <c r="F8" s="24" t="n">
        <v>10</v>
      </c>
      <c r="G8" s="25" t="inlineStr">
        <is>
          <t>Straight line</t>
        </is>
      </c>
      <c r="H8" s="31">
        <f>IF(OR(D8="",D8&gt;=Settings!$C$26),0,ROUND(E8/F8/12,0))</f>
        <v/>
      </c>
      <c r="I8" s="24" t="n">
        <v>48</v>
      </c>
      <c r="J8" s="31">
        <f>H8*I8</f>
        <v/>
      </c>
      <c r="K8" s="31">
        <f>E8-J8</f>
        <v/>
      </c>
      <c r="L8" s="25" t="inlineStr">
        <is>
          <t>Other assets</t>
        </is>
      </c>
      <c r="M8" s="50" t="n">
        <v>0.15</v>
      </c>
      <c r="N8" s="31">
        <f>ROUND(E8*M8,0)</f>
        <v/>
      </c>
      <c r="O8" s="26" t="n">
        <v>46210</v>
      </c>
      <c r="P8" s="30" t="n">
        <v>1000000</v>
      </c>
      <c r="Q8" s="25" t="inlineStr">
        <is>
          <t>Factory depreciation</t>
        </is>
      </c>
    </row>
    <row r="9">
      <c r="A9" s="25" t="inlineStr">
        <is>
          <t>KFP-V01/V02</t>
        </is>
      </c>
      <c r="B9" s="45" t="inlineStr">
        <is>
          <t>Two delivery trucks</t>
        </is>
      </c>
      <c r="C9" s="25" t="inlineStr">
        <is>
          <t>Transport yard</t>
        </is>
      </c>
      <c r="D9" s="26" t="n">
        <v>45544</v>
      </c>
      <c r="E9" s="30" t="n">
        <v>6000000</v>
      </c>
      <c r="F9" s="24" t="n">
        <v>8</v>
      </c>
      <c r="G9" s="25" t="inlineStr">
        <is>
          <t>Straight line</t>
        </is>
      </c>
      <c r="H9" s="31">
        <f>IF(OR(D9="",D9&gt;=Settings!$C$26),0,ROUND(E9/F9/12,0))</f>
        <v/>
      </c>
      <c r="I9" s="24" t="n">
        <v>25</v>
      </c>
      <c r="J9" s="31">
        <f>H9*I9</f>
        <v/>
      </c>
      <c r="K9" s="31">
        <f>E9-J9</f>
        <v/>
      </c>
      <c r="L9" s="25" t="inlineStr">
        <is>
          <t>Other assets</t>
        </is>
      </c>
      <c r="M9" s="50" t="n">
        <v>0.15</v>
      </c>
      <c r="N9" s="31">
        <f>ROUND(E9*M9,0)</f>
        <v/>
      </c>
      <c r="O9" s="26" t="n">
        <v>46210</v>
      </c>
      <c r="P9" s="30" t="n">
        <v>5000000</v>
      </c>
      <c r="Q9" s="25" t="inlineStr">
        <is>
          <t>Depreciation, vehicles and office</t>
        </is>
      </c>
    </row>
    <row r="10">
      <c r="A10" s="25" t="inlineStr">
        <is>
          <t>KFP-O01</t>
        </is>
      </c>
      <c r="B10" s="45" t="inlineStr">
        <is>
          <t>Computers and office equipment</t>
        </is>
      </c>
      <c r="C10" s="25" t="inlineStr">
        <is>
          <t>Head office</t>
        </is>
      </c>
      <c r="D10" s="26" t="n">
        <v>45177</v>
      </c>
      <c r="E10" s="30" t="n">
        <v>450000</v>
      </c>
      <c r="F10" s="24" t="n">
        <v>5</v>
      </c>
      <c r="G10" s="25" t="inlineStr">
        <is>
          <t>Straight line</t>
        </is>
      </c>
      <c r="H10" s="31">
        <f>IF(OR(D10="",D10&gt;=Settings!$C$26),0,ROUND(E10/F10/12,0))</f>
        <v/>
      </c>
      <c r="I10" s="24" t="n">
        <v>37</v>
      </c>
      <c r="J10" s="31">
        <f>H10*I10</f>
        <v/>
      </c>
      <c r="K10" s="31">
        <f>E10-J10</f>
        <v/>
      </c>
      <c r="L10" s="25" t="inlineStr">
        <is>
          <t>Computers</t>
        </is>
      </c>
      <c r="M10" s="50" t="n">
        <v>0.2</v>
      </c>
      <c r="N10" s="31">
        <f>ROUND(E10*M10,0)</f>
        <v/>
      </c>
      <c r="O10" s="26" t="n">
        <v>46210</v>
      </c>
      <c r="P10" s="30" t="n">
        <v>300000</v>
      </c>
      <c r="Q10" s="25" t="inlineStr">
        <is>
          <t>Depreciation, vehicles and office</t>
        </is>
      </c>
    </row>
    <row r="11" ht="33" customHeight="1">
      <c r="A11" s="25" t="inlineStr">
        <is>
          <t>KFP-M04</t>
        </is>
      </c>
      <c r="B11" s="45" t="inlineStr">
        <is>
          <t>Packing machine (available Meskerem 28; depreciation from P04 Tikimt)</t>
        </is>
      </c>
      <c r="C11" s="25" t="inlineStr">
        <is>
          <t>Factory, Kombolcha</t>
        </is>
      </c>
      <c r="D11" s="26" t="n">
        <v>46303</v>
      </c>
      <c r="E11" s="30" t="n">
        <v>600000</v>
      </c>
      <c r="F11" s="24" t="n">
        <v>10</v>
      </c>
      <c r="G11" s="25" t="inlineStr">
        <is>
          <t>Straight line</t>
        </is>
      </c>
      <c r="H11" s="31">
        <f>IF(OR(D11="",D11&gt;=Settings!$C$26),0,ROUND(E11/F11/12,0))</f>
        <v/>
      </c>
      <c r="I11" s="24" t="n">
        <v>0</v>
      </c>
      <c r="J11" s="31">
        <f>H11*I11</f>
        <v/>
      </c>
      <c r="K11" s="31">
        <f>E11-J11</f>
        <v/>
      </c>
      <c r="L11" s="25" t="inlineStr">
        <is>
          <t>Other assets</t>
        </is>
      </c>
      <c r="M11" s="50" t="n">
        <v>0.15</v>
      </c>
      <c r="N11" s="31">
        <f>ROUND(E11*M11,0)</f>
        <v/>
      </c>
      <c r="O11" s="26" t="n">
        <v>46210</v>
      </c>
      <c r="P11" s="30" t="n">
        <v>600000</v>
      </c>
      <c r="Q11" s="25" t="inlineStr">
        <is>
          <t>Factory depreciation</t>
        </is>
      </c>
    </row>
    <row r="12">
      <c r="B12" s="9" t="inlineStr">
        <is>
          <t>Total</t>
        </is>
      </c>
      <c r="E12" s="41">
        <f>SUM(E5:E11)</f>
        <v/>
      </c>
      <c r="H12" s="41">
        <f>SUM(H5:H11)</f>
        <v/>
      </c>
      <c r="J12" s="41">
        <f>SUM(J5:J11)</f>
        <v/>
      </c>
      <c r="K12" s="41">
        <f>SUM(K5:K11)</f>
        <v/>
      </c>
      <c r="N12" s="41">
        <f>SUM(N5:N11)</f>
        <v/>
      </c>
    </row>
    <row r="13"/>
    <row r="14" ht="33" customHeight="1">
      <c r="B14" s="10" t="inlineStr">
        <is>
          <t>Monthly depreciation: factory (B01, M01, M02, M03, M04)</t>
        </is>
      </c>
      <c r="H14" s="31">
        <f>SUMIFS(H5:H11,Q5:Q11,"Factory depreciation")</f>
        <v/>
      </c>
    </row>
    <row r="15" ht="33" customHeight="1">
      <c r="B15" s="10" t="inlineStr">
        <is>
          <t>Monthly depreciation: vehicles and office (V01/V02, O01)</t>
        </is>
      </c>
      <c r="H15" s="31">
        <f>SUMIFS(H5:H11,Q5:Q11,"Depreciation, vehicles and office")</f>
        <v/>
      </c>
    </row>
    <row r="16">
      <c r="B16" s="9" t="inlineStr">
        <is>
          <t>Check: factory split minus posted 5060</t>
        </is>
      </c>
      <c r="H16" s="41">
        <f>H14-SUMIFS(Transactions!$N$5:$N$1004,Transactions!$E$5:$E$1004,5060,Transactions!$B$5:$B$1004,Settings!$C$4)</f>
        <v/>
      </c>
    </row>
    <row r="17" ht="33" customHeight="1">
      <c r="B17" s="9" t="inlineStr">
        <is>
          <t>Check: vehicles and office split minus posted 6140</t>
        </is>
      </c>
      <c r="H17" s="41">
        <f>H15-SUMIFS(Transactions!$N$5:$N$1004,Transactions!$E$5:$E$1004,6140,Transactions!$B$5:$B$1004,Settings!$C$4)</f>
        <v/>
      </c>
    </row>
    <row r="18"/>
    <row r="19" ht="30" customHeight="1">
      <c r="B19" s="14" t="inlineStr">
        <is>
          <t>Tax rates per Council of Ministers Regulation No. 410/2017 as summarized in the course; use the method used in your accounts; buildings straight line only. Posted to (line) must match a statement line in Lists so the splits agree with the income statement.</t>
        </is>
      </c>
    </row>
    <row r="20"/>
    <row r="21" ht="22" customHeight="1">
      <c r="A21" s="11" t="inlineStr">
        <is>
          <t>Investopia Academy · A platform by Erudite Africa Investments PLC · investopia.et</t>
        </is>
      </c>
      <c r="B21" s="12" t="n"/>
      <c r="C21" s="12" t="n"/>
      <c r="D21" s="12" t="n"/>
      <c r="E21" s="12" t="n"/>
      <c r="F21" s="12" t="n"/>
      <c r="G21" s="12" t="n"/>
      <c r="H21" s="12" t="n"/>
      <c r="I21" s="12" t="n"/>
      <c r="J21" s="12" t="n"/>
      <c r="K21" s="12" t="n"/>
      <c r="L21" s="12" t="n"/>
      <c r="M21" s="12" t="n"/>
      <c r="N21" s="12" t="n"/>
      <c r="O21" s="12" t="n"/>
      <c r="P21" s="12" t="n"/>
      <c r="Q21" s="12" t="n"/>
    </row>
  </sheetData>
  <mergeCells count="2">
    <mergeCell ref="A21:Q21"/>
    <mergeCell ref="B19:Q19"/>
  </mergeCells>
  <conditionalFormatting sqref="H16:H17">
    <cfRule type="expression" priority="1" dxfId="0">
      <formula>AND(ISNUMBER(H16),ABS(H16)&gt;0.005)</formula>
    </cfRule>
    <cfRule type="expression" priority="2" dxfId="1">
      <formula>AND(ISNUMBER(H16),ABS(H16)&lt;=0.005)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tableParts count="1">
    <tablePart xmlns:r="http://schemas.openxmlformats.org/officeDocument/2006/relationships" r:id="rId1"/>
  </tableParts>
</worksheet>
</file>

<file path=xl/worksheets/sheet14.xml><?xml version="1.0" encoding="utf-8"?>
<worksheet xmlns="http://schemas.openxmlformats.org/spreadsheetml/2006/main">
  <sheetPr>
    <tabColor rgb="000F4C3A"/>
    <outlinePr summaryBelow="1" summaryRight="1"/>
    <pageSetUpPr fitToPage="1"/>
  </sheetPr>
  <dimension ref="A1:H3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hidden="1" width="3" customWidth="1" min="1" max="1"/>
    <col width="40" customWidth="1" min="2" max="2"/>
    <col width="14" customWidth="1" min="3" max="3"/>
    <col width="13" customWidth="1" min="4" max="4"/>
    <col width="13" customWidth="1" min="5" max="5"/>
    <col width="12" customWidth="1" min="6" max="6"/>
    <col width="12" customWidth="1" min="7" max="7"/>
    <col width="58" customWidth="1" min="8" max="8"/>
  </cols>
  <sheetData>
    <row r="1" ht="26" customHeight="1">
      <c r="A1" s="1" t="n"/>
      <c r="B1" s="34">
        <f>Settings!C2&amp;": ratios"</f>
        <v/>
      </c>
      <c r="C1" s="2" t="n"/>
      <c r="D1" s="2" t="n"/>
      <c r="E1" s="2" t="n"/>
      <c r="F1" s="2" t="n"/>
      <c r="G1" s="2" t="n"/>
      <c r="H1" s="2" t="n"/>
    </row>
    <row r="2">
      <c r="B2" s="35">
        <f>"Period: "&amp;Settings!C4&amp;". Monthly flows x 12 where compared with balances; days on 30."</f>
        <v/>
      </c>
    </row>
    <row r="3"/>
    <row r="4" ht="20" customHeight="1">
      <c r="A4" s="7" t="inlineStr">
        <is>
          <t>Dir</t>
        </is>
      </c>
      <c r="B4" s="7" t="inlineStr">
        <is>
          <t>Ratio</t>
        </is>
      </c>
      <c r="C4" s="7" t="inlineStr">
        <is>
          <t>Value</t>
        </is>
      </c>
      <c r="D4" s="7" t="inlineStr">
        <is>
          <t>Target</t>
        </is>
      </c>
      <c r="E4" s="7" t="inlineStr">
        <is>
          <t>Covenant</t>
        </is>
      </c>
      <c r="F4" s="7" t="inlineStr">
        <is>
          <t>Status</t>
        </is>
      </c>
      <c r="G4" s="7" t="inlineStr">
        <is>
          <t>Covenant</t>
        </is>
      </c>
      <c r="H4" s="7" t="inlineStr">
        <is>
          <t>Formula</t>
        </is>
      </c>
    </row>
    <row r="5">
      <c r="A5" t="inlineStr">
        <is>
          <t>H</t>
        </is>
      </c>
      <c r="B5" s="10" t="inlineStr">
        <is>
          <t>Current ratio</t>
        </is>
      </c>
      <c r="C5" s="51">
        <f>BS!D11/BS!D19</f>
        <v/>
      </c>
      <c r="D5" s="52">
        <f>Settings!C17</f>
        <v/>
      </c>
      <c r="E5" s="52">
        <f>Settings!C23</f>
        <v/>
      </c>
      <c r="F5" s="53">
        <f>IF(D5="","",IF($A5="H",IF(C5&gt;=D5,"On target",IF(C5&gt;=D5*0.9,"Watch","Off target")),IF(C5&lt;=D5,"On target",IF(C5&lt;=D5*1.1,"Watch","Off target"))))</f>
        <v/>
      </c>
      <c r="G5" s="53">
        <f>IF($A5="H",IF(C5&gt;=E5,"Met","Breach"),IF(C5&lt;=E5,"Met","Breach"))</f>
        <v/>
      </c>
      <c r="H5" s="14" t="inlineStr">
        <is>
          <t>BS!D11/BS!D19</t>
        </is>
      </c>
    </row>
    <row r="6">
      <c r="A6" t="inlineStr">
        <is>
          <t>H</t>
        </is>
      </c>
      <c r="B6" s="10" t="inlineStr">
        <is>
          <t>Quick ratio</t>
        </is>
      </c>
      <c r="C6" s="51">
        <f>(BS!D10+BS!D8)/BS!D19</f>
        <v/>
      </c>
      <c r="D6" s="52">
        <f>Settings!C18</f>
        <v/>
      </c>
      <c r="E6" s="8" t="n"/>
      <c r="F6" s="53">
        <f>IF(D6="","",IF($A6="H",IF(C6&gt;=D6,"On target",IF(C6&gt;=D6*0.9,"Watch","Off target")),IF(C6&lt;=D6,"On target",IF(C6&lt;=D6*1.1,"Watch","Off target"))))</f>
        <v/>
      </c>
      <c r="G6" s="8" t="n"/>
      <c r="H6" s="14" t="inlineStr">
        <is>
          <t>(cash + receivables) / current liabilities</t>
        </is>
      </c>
    </row>
    <row r="7">
      <c r="A7" t="inlineStr"/>
      <c r="B7" s="10" t="inlineStr">
        <is>
          <t>Cash ratio</t>
        </is>
      </c>
      <c r="C7" s="51">
        <f>BS!D10/BS!D19</f>
        <v/>
      </c>
      <c r="D7" s="8" t="n"/>
      <c r="E7" s="8" t="n"/>
      <c r="F7" s="8" t="n"/>
      <c r="G7" s="8" t="n"/>
      <c r="H7" s="14" t="inlineStr">
        <is>
          <t>BS!D10/BS!D19</t>
        </is>
      </c>
    </row>
    <row r="8">
      <c r="A8" t="inlineStr"/>
      <c r="B8" s="10" t="inlineStr">
        <is>
          <t>Working capital</t>
        </is>
      </c>
      <c r="C8" s="41">
        <f>BS!D11-BS!D19</f>
        <v/>
      </c>
      <c r="D8" s="8" t="n"/>
      <c r="E8" s="8" t="n"/>
      <c r="F8" s="8" t="n"/>
      <c r="G8" s="8" t="n"/>
      <c r="H8" s="14" t="inlineStr">
        <is>
          <t>BS!D11-BS!D19</t>
        </is>
      </c>
    </row>
    <row r="9">
      <c r="A9" t="inlineStr">
        <is>
          <t>H</t>
        </is>
      </c>
      <c r="B9" s="10" t="inlineStr">
        <is>
          <t>Gross margin</t>
        </is>
      </c>
      <c r="C9" s="42">
        <f>IS!C17/IS!C9</f>
        <v/>
      </c>
      <c r="D9" s="37">
        <f>BvA!D17/BvA!D9</f>
        <v/>
      </c>
      <c r="E9" s="8" t="n"/>
      <c r="F9" s="53">
        <f>IF(D9="","",IF($A9="H",IF(C9&gt;=D9,"On target",IF(C9&gt;=D9*0.9,"Watch","Off target")),IF(C9&lt;=D9,"On target",IF(C9&lt;=D9*1.1,"Watch","Off target"))))</f>
        <v/>
      </c>
      <c r="G9" s="8" t="n"/>
      <c r="H9" s="14" t="inlineStr">
        <is>
          <t>IS!C17/IS!C9; target = budget</t>
        </is>
      </c>
    </row>
    <row r="10">
      <c r="A10" t="inlineStr">
        <is>
          <t>H</t>
        </is>
      </c>
      <c r="B10" s="10" t="inlineStr">
        <is>
          <t>Operating margin</t>
        </is>
      </c>
      <c r="C10" s="42">
        <f>IS!C25/IS!C9</f>
        <v/>
      </c>
      <c r="D10" s="37">
        <f>BvA!D25/BvA!D9</f>
        <v/>
      </c>
      <c r="E10" s="8" t="n"/>
      <c r="F10" s="53">
        <f>IF(D10="","",IF($A10="H",IF(C10&gt;=D10,"On target",IF(C10&gt;=D10*0.9,"Watch","Off target")),IF(C10&lt;=D10,"On target",IF(C10&lt;=D10*1.1,"Watch","Off target"))))</f>
        <v/>
      </c>
      <c r="G10" s="8" t="n"/>
      <c r="H10" s="14" t="inlineStr">
        <is>
          <t>IS!C25/IS!C9; target = budget</t>
        </is>
      </c>
    </row>
    <row r="11">
      <c r="A11" t="inlineStr"/>
      <c r="B11" s="10" t="inlineStr">
        <is>
          <t>EBITDA margin</t>
        </is>
      </c>
      <c r="C11" s="42">
        <f>IS!C35/IS!C9</f>
        <v/>
      </c>
      <c r="D11" s="8" t="n"/>
      <c r="E11" s="8" t="n"/>
      <c r="F11" s="8" t="n"/>
      <c r="G11" s="8" t="n"/>
      <c r="H11" s="14" t="inlineStr">
        <is>
          <t>IS!C35/IS!C9</t>
        </is>
      </c>
    </row>
    <row r="12">
      <c r="A12" t="inlineStr">
        <is>
          <t>H</t>
        </is>
      </c>
      <c r="B12" s="10" t="inlineStr">
        <is>
          <t>Net margin</t>
        </is>
      </c>
      <c r="C12" s="42">
        <f>IS!C29/IS!C9</f>
        <v/>
      </c>
      <c r="D12" s="37">
        <f>BvA!D29/BvA!D9</f>
        <v/>
      </c>
      <c r="E12" s="8" t="n"/>
      <c r="F12" s="53">
        <f>IF(D12="","",IF($A12="H",IF(C12&gt;=D12,"On target",IF(C12&gt;=D12*0.9,"Watch","Off target")),IF(C12&lt;=D12,"On target",IF(C12&lt;=D12*1.1,"Watch","Off target"))))</f>
        <v/>
      </c>
      <c r="G12" s="8" t="n"/>
      <c r="H12" s="14" t="inlineStr">
        <is>
          <t>IS!C29/IS!C9; target = budget</t>
        </is>
      </c>
    </row>
    <row r="13">
      <c r="A13" t="inlineStr"/>
      <c r="B13" s="10" t="inlineStr">
        <is>
          <t>ROA, annualized</t>
        </is>
      </c>
      <c r="C13" s="42">
        <f>IS!C29*12/BS!D12</f>
        <v/>
      </c>
      <c r="D13" s="8" t="n"/>
      <c r="E13" s="8" t="n"/>
      <c r="F13" s="8" t="n"/>
      <c r="G13" s="8" t="n"/>
      <c r="H13" s="14" t="inlineStr">
        <is>
          <t>IS!C29 x 12 / BS!D12</t>
        </is>
      </c>
    </row>
    <row r="14">
      <c r="A14" t="inlineStr"/>
      <c r="B14" s="10" t="inlineStr">
        <is>
          <t>ROE, annualized</t>
        </is>
      </c>
      <c r="C14" s="42">
        <f>IS!C29*12/BS!D25</f>
        <v/>
      </c>
      <c r="D14" s="8" t="n"/>
      <c r="E14" s="8" t="n"/>
      <c r="F14" s="8" t="n"/>
      <c r="G14" s="8" t="n"/>
      <c r="H14" s="14" t="inlineStr">
        <is>
          <t>IS!C29 x 12 / BS!D25</t>
        </is>
      </c>
    </row>
    <row r="15">
      <c r="A15" t="inlineStr"/>
      <c r="B15" s="10" t="inlineStr">
        <is>
          <t>Credit sales including VAT</t>
        </is>
      </c>
      <c r="C15" s="41">
        <f>SUMIFS(Transactions!$P$5:$P$1004,Transactions!$K$5:$K$1004,"Credit",Transactions!$G$5:$G$1004,"Revenue",Transactions!$B$5:$B$1004,Settings!$C$4)</f>
        <v/>
      </c>
      <c r="D15" s="8" t="n"/>
      <c r="E15" s="8" t="n"/>
      <c r="F15" s="8" t="n"/>
      <c r="G15" s="8" t="n"/>
      <c r="H15" s="14" t="inlineStr">
        <is>
          <t>SUMIFS of Gross, Terms Credit, Type Revenue, period</t>
        </is>
      </c>
    </row>
    <row r="16">
      <c r="A16" t="inlineStr">
        <is>
          <t>L</t>
        </is>
      </c>
      <c r="B16" s="10" t="inlineStr">
        <is>
          <t>DSO (days)</t>
        </is>
      </c>
      <c r="C16" s="54">
        <f>BS!D8/C15*30</f>
        <v/>
      </c>
      <c r="D16" s="55">
        <f>Settings!C14</f>
        <v/>
      </c>
      <c r="E16" s="8" t="n"/>
      <c r="F16" s="53">
        <f>IF(D16="","",IF($A16="H",IF(C16&gt;=D16,"On target",IF(C16&gt;=D16*0.9,"Watch","Off target")),IF(C16&lt;=D16,"On target",IF(C16&lt;=D16*1.1,"Watch","Off target"))))</f>
        <v/>
      </c>
      <c r="G16" s="8" t="n"/>
      <c r="H16" s="14" t="inlineStr">
        <is>
          <t>BS!D8 / credit sales incl. VAT x 30</t>
        </is>
      </c>
    </row>
    <row r="17">
      <c r="A17" t="inlineStr">
        <is>
          <t>L</t>
        </is>
      </c>
      <c r="B17" s="10" t="inlineStr">
        <is>
          <t>DIO (days)</t>
        </is>
      </c>
      <c r="C17" s="54">
        <f>BS!D7/IS!C16*30</f>
        <v/>
      </c>
      <c r="D17" s="55">
        <f>Settings!C15</f>
        <v/>
      </c>
      <c r="E17" s="8" t="n"/>
      <c r="F17" s="53">
        <f>IF(D17="","",IF($A17="H",IF(C17&gt;=D17,"On target",IF(C17&gt;=D17*0.9,"Watch","Off target")),IF(C17&lt;=D17,"On target",IF(C17&lt;=D17*1.1,"Watch","Off target"))))</f>
        <v/>
      </c>
      <c r="G17" s="8" t="n"/>
      <c r="H17" s="14" t="inlineStr">
        <is>
          <t>BS!D7 / IS!C16 x 30</t>
        </is>
      </c>
    </row>
    <row r="18">
      <c r="A18" t="inlineStr">
        <is>
          <t>H</t>
        </is>
      </c>
      <c r="B18" s="10" t="inlineStr">
        <is>
          <t>DPO (days)</t>
        </is>
      </c>
      <c r="C18" s="54">
        <f>BS!D14/IS!C16*30</f>
        <v/>
      </c>
      <c r="D18" s="55">
        <f>Settings!C16</f>
        <v/>
      </c>
      <c r="E18" s="8" t="n"/>
      <c r="F18" s="53">
        <f>IF(D18="","",IF($A18="H",IF(C18&gt;=D18,"On target",IF(C18&gt;=D18*0.9,"Watch","Off target")),IF(C18&lt;=D18,"On target",IF(C18&lt;=D18*1.1,"Watch","Off target"))))</f>
        <v/>
      </c>
      <c r="G18" s="8" t="n"/>
      <c r="H18" s="14" t="inlineStr">
        <is>
          <t>BS!D14 / IS!C16 x 30</t>
        </is>
      </c>
    </row>
    <row r="19">
      <c r="A19" t="inlineStr"/>
      <c r="B19" s="10" t="inlineStr">
        <is>
          <t>Cash conversion cycle (days)</t>
        </is>
      </c>
      <c r="C19" s="54">
        <f>C16+C17-C18</f>
        <v/>
      </c>
      <c r="D19" s="8" t="n"/>
      <c r="E19" s="8" t="n"/>
      <c r="F19" s="8" t="n"/>
      <c r="G19" s="8" t="n"/>
      <c r="H19" s="14" t="inlineStr">
        <is>
          <t>DSO + DIO - DPO</t>
        </is>
      </c>
    </row>
    <row r="20">
      <c r="A20" t="inlineStr"/>
      <c r="B20" s="10" t="inlineStr">
        <is>
          <t>Receivables turnover, annualized</t>
        </is>
      </c>
      <c r="C20" s="51">
        <f>C15*12/BS!D8</f>
        <v/>
      </c>
      <c r="D20" s="8" t="n"/>
      <c r="E20" s="8" t="n"/>
      <c r="F20" s="8" t="n"/>
      <c r="G20" s="8" t="n"/>
      <c r="H20" s="14" t="inlineStr">
        <is>
          <t>credit sales incl. VAT x 12 / BS!D8</t>
        </is>
      </c>
    </row>
    <row r="21">
      <c r="A21" t="inlineStr"/>
      <c r="B21" s="10" t="inlineStr">
        <is>
          <t>Inventory turnover, annualized</t>
        </is>
      </c>
      <c r="C21" s="54">
        <f>IS!C16*12/BS!D7</f>
        <v/>
      </c>
      <c r="D21" s="8" t="n"/>
      <c r="E21" s="8" t="n"/>
      <c r="F21" s="8" t="n"/>
      <c r="G21" s="8" t="n"/>
      <c r="H21" s="14" t="inlineStr">
        <is>
          <t>IS!C16 x 12 / BS!D7</t>
        </is>
      </c>
    </row>
    <row r="22">
      <c r="A22" t="inlineStr"/>
      <c r="B22" s="10" t="inlineStr">
        <is>
          <t>Asset turnover, annualized</t>
        </is>
      </c>
      <c r="C22" s="51">
        <f>IS!C9*12/BS!D12</f>
        <v/>
      </c>
      <c r="D22" s="8" t="n"/>
      <c r="E22" s="8" t="n"/>
      <c r="F22" s="8" t="n"/>
      <c r="G22" s="8" t="n"/>
      <c r="H22" s="14" t="inlineStr">
        <is>
          <t>IS!C9 x 12 / BS!D12</t>
        </is>
      </c>
    </row>
    <row r="23">
      <c r="A23" t="inlineStr">
        <is>
          <t>L</t>
        </is>
      </c>
      <c r="B23" s="10" t="inlineStr">
        <is>
          <t>Debt to equity</t>
        </is>
      </c>
      <c r="C23" s="51">
        <f>(BS!D17+BS!D18+BS!D20)/BS!D25</f>
        <v/>
      </c>
      <c r="D23" s="52">
        <f>Settings!C24</f>
        <v/>
      </c>
      <c r="E23" s="52">
        <f>Settings!C24</f>
        <v/>
      </c>
      <c r="F23" s="53">
        <f>IF(D23="","",IF($A23="H",IF(C23&gt;=D23,"On target",IF(C23&gt;=D23*0.9,"Watch","Off target")),IF(C23&lt;=D23,"On target",IF(C23&lt;=D23*1.1,"Watch","Off target"))))</f>
        <v/>
      </c>
      <c r="G23" s="53">
        <f>IF($A23="H",IF(C23&gt;=E23,"Met","Breach"),IF(C23&lt;=E23,"Met","Breach"))</f>
        <v/>
      </c>
      <c r="H23" s="14" t="inlineStr">
        <is>
          <t>(overdraft + term loan) / equity; covenant maximum</t>
        </is>
      </c>
    </row>
    <row r="24">
      <c r="A24" t="inlineStr"/>
      <c r="B24" s="10" t="inlineStr">
        <is>
          <t>Total liabilities to total assets</t>
        </is>
      </c>
      <c r="C24" s="42">
        <f>BS!D21/BS!D12</f>
        <v/>
      </c>
      <c r="D24" s="8" t="n"/>
      <c r="E24" s="8" t="n"/>
      <c r="F24" s="8" t="n"/>
      <c r="G24" s="8" t="n"/>
      <c r="H24" s="14" t="inlineStr">
        <is>
          <t>BS!D21/BS!D12</t>
        </is>
      </c>
    </row>
    <row r="25">
      <c r="A25" t="inlineStr"/>
      <c r="B25" s="10" t="inlineStr">
        <is>
          <t>Interest cover (times)</t>
        </is>
      </c>
      <c r="C25" s="51">
        <f>IS!C25/IS!C26</f>
        <v/>
      </c>
      <c r="D25" s="8" t="n"/>
      <c r="E25" s="8" t="n"/>
      <c r="F25" s="8" t="n"/>
      <c r="G25" s="8" t="n"/>
      <c r="H25" s="14" t="inlineStr">
        <is>
          <t>IS!C25/IS!C26</t>
        </is>
      </c>
    </row>
    <row r="26">
      <c r="A26" t="inlineStr"/>
      <c r="B26" s="10" t="inlineStr">
        <is>
          <t>Cash available for debt service</t>
        </is>
      </c>
      <c r="C26" s="41">
        <f>IS!C29+IS!C15+IS!C22+IS!C26</f>
        <v/>
      </c>
      <c r="D26" s="8" t="n"/>
      <c r="E26" s="8" t="n"/>
      <c r="F26" s="8" t="n"/>
      <c r="G26" s="8" t="n"/>
      <c r="H26" s="14" t="inlineStr">
        <is>
          <t>profit + depreciation + interest</t>
        </is>
      </c>
    </row>
    <row r="27">
      <c r="A27" t="inlineStr"/>
      <c r="B27" s="10" t="inlineStr">
        <is>
          <t>Principal repaid in the month (input)</t>
        </is>
      </c>
      <c r="C27" s="30" t="n">
        <v>100000</v>
      </c>
      <c r="D27" s="8" t="n"/>
      <c r="E27" s="8" t="n"/>
      <c r="F27" s="8" t="n"/>
      <c r="G27" s="8" t="n"/>
      <c r="H27" s="14" t="inlineStr">
        <is>
          <t>from the loan schedule</t>
        </is>
      </c>
    </row>
    <row r="28">
      <c r="A28" t="inlineStr"/>
      <c r="B28" s="10" t="inlineStr">
        <is>
          <t>Debt service (principal + interest)</t>
        </is>
      </c>
      <c r="C28" s="41">
        <f>C27+IS!C26</f>
        <v/>
      </c>
      <c r="D28" s="8" t="n"/>
      <c r="E28" s="8" t="n"/>
      <c r="F28" s="8" t="n"/>
      <c r="G28" s="8" t="n"/>
      <c r="H28" s="14" t="inlineStr">
        <is>
          <t>principal + IS!C26</t>
        </is>
      </c>
    </row>
    <row r="29">
      <c r="A29" t="inlineStr">
        <is>
          <t>H</t>
        </is>
      </c>
      <c r="B29" s="10" t="inlineStr">
        <is>
          <t>DSCR (times)</t>
        </is>
      </c>
      <c r="C29" s="51">
        <f>C26/C28</f>
        <v/>
      </c>
      <c r="D29" s="52">
        <f>Settings!C25</f>
        <v/>
      </c>
      <c r="E29" s="52">
        <f>Settings!C25</f>
        <v/>
      </c>
      <c r="F29" s="53">
        <f>IF(D29="","",IF($A29="H",IF(C29&gt;=D29,"On target",IF(C29&gt;=D29*0.9,"Watch","Off target")),IF(C29&lt;=D29,"On target",IF(C29&lt;=D29*1.1,"Watch","Off target"))))</f>
        <v/>
      </c>
      <c r="G29" s="53">
        <f>IF($A29="H",IF(C29&gt;=E29,"Met","Breach"),IF(C29&lt;=E29,"Met","Breach"))</f>
        <v/>
      </c>
      <c r="H29" s="14" t="inlineStr">
        <is>
          <t>cash available / debt service</t>
        </is>
      </c>
    </row>
    <row r="30" ht="33" customHeight="1">
      <c r="A30" t="inlineStr"/>
      <c r="B30" s="10" t="inlineStr">
        <is>
          <t>DuPont check: net margin x asset turnover x equity multiplier</t>
        </is>
      </c>
      <c r="C30" s="42">
        <f>C12*C22*(BS!D12/BS!D25)</f>
        <v/>
      </c>
      <c r="D30" s="8" t="n"/>
      <c r="E30" s="8" t="n"/>
      <c r="F30" s="8" t="n"/>
      <c r="G30" s="8" t="n"/>
      <c r="H30" s="14" t="inlineStr">
        <is>
          <t>equals ROE</t>
        </is>
      </c>
    </row>
    <row r="31">
      <c r="A31" t="inlineStr"/>
      <c r="B31" s="10" t="inlineStr">
        <is>
          <t>DuPont minus ROE (must be 0)</t>
        </is>
      </c>
      <c r="C31" s="56">
        <f>C30-C14</f>
        <v/>
      </c>
      <c r="D31" s="8" t="n"/>
      <c r="E31" s="8" t="n"/>
      <c r="F31" s="8" t="n"/>
      <c r="G31" s="8" t="n"/>
      <c r="H31" s="14" t="inlineStr"/>
    </row>
    <row r="32"/>
    <row r="33">
      <c r="B33" s="9" t="inlineStr">
        <is>
          <t>Bank A covenants met (of 3)</t>
        </is>
      </c>
      <c r="C33" s="43">
        <f>COUNTIF(G5:G31,"Met")</f>
        <v/>
      </c>
    </row>
    <row r="34">
      <c r="B34" s="14" t="inlineStr">
        <is>
          <t>Status: higher-is-better ratios are On target at or above target and Watch within 10% below it; lower-is-better ratios are On target at or below target and Watch up to 10% above it.</t>
        </is>
      </c>
    </row>
    <row r="35"/>
    <row r="36"/>
    <row r="37" ht="22" customHeight="1">
      <c r="A37" s="11" t="inlineStr">
        <is>
          <t>Investopia Academy · A platform by Erudite Africa Investments PLC · investopia.et</t>
        </is>
      </c>
      <c r="B37" s="12" t="n"/>
      <c r="C37" s="12" t="n"/>
      <c r="D37" s="12" t="n"/>
      <c r="E37" s="12" t="n"/>
      <c r="F37" s="12" t="n"/>
      <c r="G37" s="12" t="n"/>
      <c r="H37" s="12" t="n"/>
    </row>
  </sheetData>
  <mergeCells count="2">
    <mergeCell ref="A37:H37"/>
    <mergeCell ref="B34:H35"/>
  </mergeCells>
  <conditionalFormatting sqref="C31">
    <cfRule type="expression" priority="1" dxfId="0">
      <formula>AND(ISNUMBER(C31),ABS(C31)&gt;0.000001)</formula>
    </cfRule>
    <cfRule type="expression" priority="2" dxfId="1">
      <formula>AND(ISNUMBER(C31),ABS(C31)&lt;=0.000001)</formula>
    </cfRule>
  </conditionalFormatting>
  <conditionalFormatting sqref="F5:G31">
    <cfRule type="expression" priority="3" dxfId="1">
      <formula>OR(F5="On target",F5="Met")</formula>
    </cfRule>
    <cfRule type="expression" priority="4" dxfId="6">
      <formula>F5="Watch"</formula>
    </cfRule>
    <cfRule type="expression" priority="5" dxfId="0">
      <formula>OR(F5="Off target",F5="Breach")</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15.xml><?xml version="1.0" encoding="utf-8"?>
<worksheet xmlns="http://schemas.openxmlformats.org/spreadsheetml/2006/main">
  <sheetPr>
    <tabColor rgb="000F4C3A"/>
    <outlinePr summaryBelow="1" summaryRight="1"/>
    <pageSetUpPr fitToPage="1"/>
  </sheetPr>
  <dimension ref="A1:P40"/>
  <sheetViews>
    <sheetView showGridLines="0" workbookViewId="0">
      <selection activeCell="A1" sqref="A1"/>
    </sheetView>
  </sheetViews>
  <sheetFormatPr baseColWidth="8" defaultRowHeight="15"/>
  <cols>
    <col width="2"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11.5" customWidth="1" min="16" max="16"/>
  </cols>
  <sheetData>
    <row r="1" ht="26" customHeight="1">
      <c r="A1" s="2" t="n"/>
      <c r="B1" s="34">
        <f>Settings!C2&amp;" monthly management dashboard"</f>
        <v/>
      </c>
      <c r="C1" s="2" t="n"/>
      <c r="D1" s="2" t="n"/>
      <c r="E1" s="2" t="n"/>
      <c r="F1" s="2" t="n"/>
      <c r="G1" s="2" t="n"/>
      <c r="H1" s="2" t="n"/>
      <c r="I1" s="2" t="n"/>
      <c r="J1" s="2" t="n"/>
      <c r="K1" s="2" t="n"/>
      <c r="L1" s="2" t="n"/>
      <c r="M1" s="2" t="n"/>
      <c r="N1" s="2" t="n"/>
      <c r="O1" s="2" t="n"/>
      <c r="P1" s="2" t="n"/>
    </row>
    <row r="2">
      <c r="B2" s="9" t="inlineStr">
        <is>
          <t>Period</t>
        </is>
      </c>
      <c r="C2" s="57" t="inlineStr">
        <is>
          <t>P03 Meskerem</t>
        </is>
      </c>
      <c r="D2" s="58" t="n"/>
      <c r="F2" s="35">
        <f>"Units: Birr. Overall: "&amp;Checks!C17&amp;". Choose the period in C2."</f>
        <v/>
      </c>
    </row>
    <row r="3" ht="20" customHeight="1">
      <c r="B3" s="59" t="inlineStr">
        <is>
          <t>Revenue</t>
        </is>
      </c>
      <c r="C3" s="60" t="n"/>
      <c r="D3" s="59" t="inlineStr">
        <is>
          <t>Gross margin</t>
        </is>
      </c>
      <c r="E3" s="60" t="n"/>
      <c r="F3" s="59" t="inlineStr">
        <is>
          <t>Profit for the month</t>
        </is>
      </c>
      <c r="G3" s="60" t="n"/>
      <c r="H3" s="59" t="inlineStr">
        <is>
          <t>Cash</t>
        </is>
      </c>
      <c r="I3" s="60" t="n"/>
      <c r="J3" s="59" t="inlineStr">
        <is>
          <t>DSO and DIO (days)</t>
        </is>
      </c>
      <c r="K3" s="60" t="n"/>
      <c r="L3" s="59" t="inlineStr">
        <is>
          <t>Lowest 13-week headroom</t>
        </is>
      </c>
      <c r="M3" s="61" t="n"/>
      <c r="N3" s="61" t="n"/>
      <c r="O3" s="61" t="n"/>
      <c r="P3" s="60" t="n"/>
    </row>
    <row r="4" ht="30" customHeight="1">
      <c r="B4" s="62">
        <f>IS!C9</f>
        <v/>
      </c>
      <c r="C4" s="63" t="n"/>
      <c r="D4" s="64">
        <f>IS!D17</f>
        <v/>
      </c>
      <c r="E4" s="63" t="n"/>
      <c r="F4" s="62">
        <f>IS!C29</f>
        <v/>
      </c>
      <c r="G4" s="63" t="n"/>
      <c r="H4" s="62">
        <f>BS!D10</f>
        <v/>
      </c>
      <c r="I4" s="63" t="n"/>
      <c r="J4" s="65">
        <f>Ratios!C16</f>
        <v/>
      </c>
      <c r="K4" s="66">
        <f>Ratios!C17</f>
        <v/>
      </c>
      <c r="L4" s="62">
        <f>Forecast13!D29</f>
        <v/>
      </c>
      <c r="M4" s="67" t="n"/>
      <c r="N4" s="67" t="n"/>
      <c r="O4" s="67" t="n"/>
      <c r="P4" s="63" t="n"/>
    </row>
    <row r="5" ht="16" customHeight="1">
      <c r="B5" s="68">
        <f>TEXT(BvA!F9,"+0.0%;-0.0%")&amp;" vs budget"</f>
        <v/>
      </c>
      <c r="C5" s="63" t="n"/>
      <c r="D5" s="68">
        <f>"budget "&amp;TEXT(Ratios!D9,"0.0%")</f>
        <v/>
      </c>
      <c r="E5" s="63" t="n"/>
      <c r="F5" s="68">
        <f>"budget "&amp;TEXT(BvA!D29,"#,##0")</f>
        <v/>
      </c>
      <c r="G5" s="63" t="n"/>
      <c r="H5" s="68">
        <f>"unused overdraft "&amp;TEXT(Settings!C9-Settings!C19,"#,##0")</f>
        <v/>
      </c>
      <c r="I5" s="63" t="n"/>
      <c r="J5" s="68">
        <f>"targets "&amp;Settings!C14&amp;" and "&amp;Settings!C15</f>
        <v/>
      </c>
      <c r="K5" s="63" t="n"/>
      <c r="L5" s="68">
        <f>"base case (week "&amp;Forecast13!F29&amp;")"</f>
        <v/>
      </c>
      <c r="M5" s="67" t="n"/>
      <c r="N5" s="67" t="n"/>
      <c r="O5" s="67" t="n"/>
      <c r="P5" s="63" t="n"/>
    </row>
    <row r="6" ht="16" customHeight="1">
      <c r="B6" s="69">
        <f>"budget "&amp;TEXT(BvA!D9,"#,##0")</f>
        <v/>
      </c>
      <c r="C6" s="70" t="n"/>
      <c r="D6" s="69">
        <f>"gross profit "&amp;TEXT(IS!C17,"#,##0")</f>
        <v/>
      </c>
      <c r="E6" s="70" t="n"/>
      <c r="F6" s="69">
        <f>"net margin "&amp;TEXT(Ratios!C12,"0.0%")</f>
        <v/>
      </c>
      <c r="G6" s="70" t="n"/>
      <c r="H6" s="69">
        <f>"end of "&amp;Settings!C4</f>
        <v/>
      </c>
      <c r="I6" s="70" t="n"/>
      <c r="J6" s="69">
        <f>"DSO left, DIO right"</f>
        <v/>
      </c>
      <c r="K6" s="70" t="n"/>
      <c r="L6" s="69">
        <f>TEXT(Forecast13!D28,"#,##0")&amp;" with actions (week "&amp;Forecast13!F28&amp;")"</f>
        <v/>
      </c>
      <c r="M6" s="2" t="n"/>
      <c r="N6" s="2" t="n"/>
      <c r="O6" s="2" t="n"/>
      <c r="P6" s="70" t="n"/>
    </row>
    <row r="7">
      <c r="B7" s="71">
        <f>"Current ratio "&amp;TEXT(Ratios!C5,"0.00")&amp;", quick ratio "&amp;TEXT(Ratios!C6,"0.00")&amp;", "&amp;IF(Ratios!C33=3,"all three Bank A covenants met",Ratios!C33&amp;" of 3 Bank A covenants met")</f>
        <v/>
      </c>
    </row>
    <row r="8"/>
    <row r="9"/>
    <row r="10"/>
    <row r="11"/>
    <row r="12"/>
    <row r="13"/>
    <row r="14"/>
    <row r="15"/>
    <row r="16"/>
    <row r="17"/>
    <row r="18"/>
    <row r="19"/>
    <row r="20"/>
    <row r="21"/>
    <row r="22"/>
    <row r="23"/>
    <row r="24" ht="20" customHeight="1">
      <c r="B24" s="7" t="inlineStr">
        <is>
          <t>Exceptions (lines flagged Explain)</t>
        </is>
      </c>
      <c r="E24" s="7" t="inlineStr">
        <is>
          <t>Actual</t>
        </is>
      </c>
      <c r="F24" s="7" t="inlineStr">
        <is>
          <t>Budget</t>
        </is>
      </c>
      <c r="G24" s="7" t="inlineStr">
        <is>
          <t>Variance</t>
        </is>
      </c>
      <c r="H24" s="7" t="inlineStr">
        <is>
          <t>Var. %</t>
        </is>
      </c>
      <c r="I24" s="7" t="inlineStr">
        <is>
          <t>Explanation (from BvA)</t>
        </is>
      </c>
    </row>
    <row r="25">
      <c r="B25" s="27">
        <f>IF(BvA!$C$30=0,"No exceptions",INDEX(BvA!$B$6:$B$29,MATCH(1,BvA!$K$6:$K$29,0)))</f>
        <v/>
      </c>
      <c r="C25" s="8" t="n"/>
      <c r="D25" s="8" t="n"/>
      <c r="E25" s="31">
        <f>IFERROR(INDEX(BvA!$C$6:$C$29,MATCH(1,BvA!$K$6:$K$29,0)),"")</f>
        <v/>
      </c>
      <c r="F25" s="31">
        <f>IFERROR(INDEX(BvA!$D$6:$D$29,MATCH(1,BvA!$K$6:$K$29,0)),"")</f>
        <v/>
      </c>
      <c r="G25" s="31">
        <f>IFERROR(INDEX(BvA!$E$6:$E$29,MATCH(1,BvA!$K$6:$K$29,0)),"")</f>
        <v/>
      </c>
      <c r="H25" s="37">
        <f>IFERROR(INDEX(BvA!$F$6:$F$29,MATCH(1,BvA!$K$6:$K$29,0)),"")</f>
        <v/>
      </c>
      <c r="I25" s="72">
        <f>IFERROR(""&amp;INDEX(BvA!$H$6:$H$29,MATCH(1,BvA!$K$6:$K$29,0)),"")</f>
        <v/>
      </c>
      <c r="J25" s="8" t="n"/>
      <c r="K25" s="8" t="n"/>
      <c r="L25" s="8" t="n"/>
      <c r="M25" s="8" t="n"/>
      <c r="N25" s="8" t="n"/>
      <c r="O25" s="8" t="n"/>
      <c r="P25" s="8" t="n"/>
    </row>
    <row r="26">
      <c r="B26" s="27">
        <f>IFERROR(INDEX(BvA!$B$6:$B$29,MATCH(2,BvA!$K$6:$K$29,0)),"")</f>
        <v/>
      </c>
      <c r="C26" s="8" t="n"/>
      <c r="D26" s="8" t="n"/>
      <c r="E26" s="31">
        <f>IFERROR(INDEX(BvA!$C$6:$C$29,MATCH(2,BvA!$K$6:$K$29,0)),"")</f>
        <v/>
      </c>
      <c r="F26" s="31">
        <f>IFERROR(INDEX(BvA!$D$6:$D$29,MATCH(2,BvA!$K$6:$K$29,0)),"")</f>
        <v/>
      </c>
      <c r="G26" s="31">
        <f>IFERROR(INDEX(BvA!$E$6:$E$29,MATCH(2,BvA!$K$6:$K$29,0)),"")</f>
        <v/>
      </c>
      <c r="H26" s="37">
        <f>IFERROR(INDEX(BvA!$F$6:$F$29,MATCH(2,BvA!$K$6:$K$29,0)),"")</f>
        <v/>
      </c>
      <c r="I26" s="72">
        <f>IFERROR(""&amp;INDEX(BvA!$H$6:$H$29,MATCH(2,BvA!$K$6:$K$29,0)),"")</f>
        <v/>
      </c>
      <c r="J26" s="8" t="n"/>
      <c r="K26" s="8" t="n"/>
      <c r="L26" s="8" t="n"/>
      <c r="M26" s="8" t="n"/>
      <c r="N26" s="8" t="n"/>
      <c r="O26" s="8" t="n"/>
      <c r="P26" s="8" t="n"/>
    </row>
    <row r="27">
      <c r="B27" s="27">
        <f>IFERROR(INDEX(BvA!$B$6:$B$29,MATCH(3,BvA!$K$6:$K$29,0)),"")</f>
        <v/>
      </c>
      <c r="C27" s="8" t="n"/>
      <c r="D27" s="8" t="n"/>
      <c r="E27" s="31">
        <f>IFERROR(INDEX(BvA!$C$6:$C$29,MATCH(3,BvA!$K$6:$K$29,0)),"")</f>
        <v/>
      </c>
      <c r="F27" s="31">
        <f>IFERROR(INDEX(BvA!$D$6:$D$29,MATCH(3,BvA!$K$6:$K$29,0)),"")</f>
        <v/>
      </c>
      <c r="G27" s="31">
        <f>IFERROR(INDEX(BvA!$E$6:$E$29,MATCH(3,BvA!$K$6:$K$29,0)),"")</f>
        <v/>
      </c>
      <c r="H27" s="37">
        <f>IFERROR(INDEX(BvA!$F$6:$F$29,MATCH(3,BvA!$K$6:$K$29,0)),"")</f>
        <v/>
      </c>
      <c r="I27" s="72">
        <f>IFERROR(""&amp;INDEX(BvA!$H$6:$H$29,MATCH(3,BvA!$K$6:$K$29,0)),"")</f>
        <v/>
      </c>
      <c r="J27" s="8" t="n"/>
      <c r="K27" s="8" t="n"/>
      <c r="L27" s="8" t="n"/>
      <c r="M27" s="8" t="n"/>
      <c r="N27" s="8" t="n"/>
      <c r="O27" s="8" t="n"/>
      <c r="P27" s="8" t="n"/>
    </row>
    <row r="28">
      <c r="B28" s="27">
        <f>IFERROR(INDEX(BvA!$B$6:$B$29,MATCH(4,BvA!$K$6:$K$29,0)),"")</f>
        <v/>
      </c>
      <c r="C28" s="8" t="n"/>
      <c r="D28" s="8" t="n"/>
      <c r="E28" s="31">
        <f>IFERROR(INDEX(BvA!$C$6:$C$29,MATCH(4,BvA!$K$6:$K$29,0)),"")</f>
        <v/>
      </c>
      <c r="F28" s="31">
        <f>IFERROR(INDEX(BvA!$D$6:$D$29,MATCH(4,BvA!$K$6:$K$29,0)),"")</f>
        <v/>
      </c>
      <c r="G28" s="31">
        <f>IFERROR(INDEX(BvA!$E$6:$E$29,MATCH(4,BvA!$K$6:$K$29,0)),"")</f>
        <v/>
      </c>
      <c r="H28" s="37">
        <f>IFERROR(INDEX(BvA!$F$6:$F$29,MATCH(4,BvA!$K$6:$K$29,0)),"")</f>
        <v/>
      </c>
      <c r="I28" s="72">
        <f>IFERROR(""&amp;INDEX(BvA!$H$6:$H$29,MATCH(4,BvA!$K$6:$K$29,0)),"")</f>
        <v/>
      </c>
      <c r="J28" s="8" t="n"/>
      <c r="K28" s="8" t="n"/>
      <c r="L28" s="8" t="n"/>
      <c r="M28" s="8" t="n"/>
      <c r="N28" s="8" t="n"/>
      <c r="O28" s="8" t="n"/>
      <c r="P28" s="8" t="n"/>
    </row>
    <row r="29">
      <c r="B29" s="27">
        <f>IFERROR(INDEX(BvA!$B$6:$B$29,MATCH(5,BvA!$K$6:$K$29,0)),"")</f>
        <v/>
      </c>
      <c r="C29" s="8" t="n"/>
      <c r="D29" s="8" t="n"/>
      <c r="E29" s="31">
        <f>IFERROR(INDEX(BvA!$C$6:$C$29,MATCH(5,BvA!$K$6:$K$29,0)),"")</f>
        <v/>
      </c>
      <c r="F29" s="31">
        <f>IFERROR(INDEX(BvA!$D$6:$D$29,MATCH(5,BvA!$K$6:$K$29,0)),"")</f>
        <v/>
      </c>
      <c r="G29" s="31">
        <f>IFERROR(INDEX(BvA!$E$6:$E$29,MATCH(5,BvA!$K$6:$K$29,0)),"")</f>
        <v/>
      </c>
      <c r="H29" s="37">
        <f>IFERROR(INDEX(BvA!$F$6:$F$29,MATCH(5,BvA!$K$6:$K$29,0)),"")</f>
        <v/>
      </c>
      <c r="I29" s="72">
        <f>IFERROR(""&amp;INDEX(BvA!$H$6:$H$29,MATCH(5,BvA!$K$6:$K$29,0)),"")</f>
        <v/>
      </c>
      <c r="J29" s="8" t="n"/>
      <c r="K29" s="8" t="n"/>
      <c r="L29" s="8" t="n"/>
      <c r="M29" s="8" t="n"/>
      <c r="N29" s="8" t="n"/>
      <c r="O29" s="8" t="n"/>
      <c r="P29" s="8" t="n"/>
    </row>
    <row r="30">
      <c r="B30" s="27">
        <f>IFERROR(INDEX(BvA!$B$6:$B$29,MATCH(6,BvA!$K$6:$K$29,0)),"")</f>
        <v/>
      </c>
      <c r="C30" s="8" t="n"/>
      <c r="D30" s="8" t="n"/>
      <c r="E30" s="31">
        <f>IFERROR(INDEX(BvA!$C$6:$C$29,MATCH(6,BvA!$K$6:$K$29,0)),"")</f>
        <v/>
      </c>
      <c r="F30" s="31">
        <f>IFERROR(INDEX(BvA!$D$6:$D$29,MATCH(6,BvA!$K$6:$K$29,0)),"")</f>
        <v/>
      </c>
      <c r="G30" s="31">
        <f>IFERROR(INDEX(BvA!$E$6:$E$29,MATCH(6,BvA!$K$6:$K$29,0)),"")</f>
        <v/>
      </c>
      <c r="H30" s="37">
        <f>IFERROR(INDEX(BvA!$F$6:$F$29,MATCH(6,BvA!$K$6:$K$29,0)),"")</f>
        <v/>
      </c>
      <c r="I30" s="72">
        <f>IFERROR(""&amp;INDEX(BvA!$H$6:$H$29,MATCH(6,BvA!$K$6:$K$29,0)),"")</f>
        <v/>
      </c>
      <c r="J30" s="8" t="n"/>
      <c r="K30" s="8" t="n"/>
      <c r="L30" s="8" t="n"/>
      <c r="M30" s="8" t="n"/>
      <c r="N30" s="8" t="n"/>
      <c r="O30" s="8" t="n"/>
      <c r="P30" s="8" t="n"/>
    </row>
    <row r="31">
      <c r="B31" s="27">
        <f>IFERROR(INDEX(BvA!$B$6:$B$29,MATCH(7,BvA!$K$6:$K$29,0)),"")</f>
        <v/>
      </c>
      <c r="C31" s="8" t="n"/>
      <c r="D31" s="8" t="n"/>
      <c r="E31" s="31">
        <f>IFERROR(INDEX(BvA!$C$6:$C$29,MATCH(7,BvA!$K$6:$K$29,0)),"")</f>
        <v/>
      </c>
      <c r="F31" s="31">
        <f>IFERROR(INDEX(BvA!$D$6:$D$29,MATCH(7,BvA!$K$6:$K$29,0)),"")</f>
        <v/>
      </c>
      <c r="G31" s="31">
        <f>IFERROR(INDEX(BvA!$E$6:$E$29,MATCH(7,BvA!$K$6:$K$29,0)),"")</f>
        <v/>
      </c>
      <c r="H31" s="37">
        <f>IFERROR(INDEX(BvA!$F$6:$F$29,MATCH(7,BvA!$K$6:$K$29,0)),"")</f>
        <v/>
      </c>
      <c r="I31" s="72">
        <f>IFERROR(""&amp;INDEX(BvA!$H$6:$H$29,MATCH(7,BvA!$K$6:$K$29,0)),"")</f>
        <v/>
      </c>
      <c r="J31" s="8" t="n"/>
      <c r="K31" s="8" t="n"/>
      <c r="L31" s="8" t="n"/>
      <c r="M31" s="8" t="n"/>
      <c r="N31" s="8" t="n"/>
      <c r="O31" s="8" t="n"/>
      <c r="P31" s="8" t="n"/>
    </row>
    <row r="32">
      <c r="B32" s="27">
        <f>IFERROR(INDEX(BvA!$B$6:$B$29,MATCH(8,BvA!$K$6:$K$29,0)),"")</f>
        <v/>
      </c>
      <c r="C32" s="8" t="n"/>
      <c r="D32" s="8" t="n"/>
      <c r="E32" s="31">
        <f>IFERROR(INDEX(BvA!$C$6:$C$29,MATCH(8,BvA!$K$6:$K$29,0)),"")</f>
        <v/>
      </c>
      <c r="F32" s="31">
        <f>IFERROR(INDEX(BvA!$D$6:$D$29,MATCH(8,BvA!$K$6:$K$29,0)),"")</f>
        <v/>
      </c>
      <c r="G32" s="31">
        <f>IFERROR(INDEX(BvA!$E$6:$E$29,MATCH(8,BvA!$K$6:$K$29,0)),"")</f>
        <v/>
      </c>
      <c r="H32" s="37">
        <f>IFERROR(INDEX(BvA!$F$6:$F$29,MATCH(8,BvA!$K$6:$K$29,0)),"")</f>
        <v/>
      </c>
      <c r="I32" s="72">
        <f>IFERROR(""&amp;INDEX(BvA!$H$6:$H$29,MATCH(8,BvA!$K$6:$K$29,0)),"")</f>
        <v/>
      </c>
      <c r="J32" s="8" t="n"/>
      <c r="K32" s="8" t="n"/>
      <c r="L32" s="8" t="n"/>
      <c r="M32" s="8" t="n"/>
      <c r="N32" s="8" t="n"/>
      <c r="O32" s="8" t="n"/>
      <c r="P32" s="8" t="n"/>
    </row>
    <row r="33"/>
    <row r="34">
      <c r="B34" s="7" t="inlineStr">
        <is>
          <t>Current ratio</t>
        </is>
      </c>
      <c r="C34" s="73" t="n"/>
      <c r="D34" s="7" t="inlineStr">
        <is>
          <t>Quick ratio</t>
        </is>
      </c>
      <c r="E34" s="73" t="n"/>
      <c r="F34" s="7" t="inlineStr">
        <is>
          <t>Gross margin</t>
        </is>
      </c>
      <c r="G34" s="73" t="n"/>
      <c r="H34" s="7" t="inlineStr">
        <is>
          <t>DSO (days)</t>
        </is>
      </c>
      <c r="I34" s="73" t="n"/>
      <c r="J34" s="7" t="inlineStr">
        <is>
          <t>DIO (days)</t>
        </is>
      </c>
      <c r="K34" s="73" t="n"/>
      <c r="L34" s="7" t="inlineStr">
        <is>
          <t>Debt to equity</t>
        </is>
      </c>
      <c r="M34" s="73" t="n"/>
      <c r="N34" s="7" t="inlineStr">
        <is>
          <t>DSCR</t>
        </is>
      </c>
      <c r="O34" s="73" t="n"/>
    </row>
    <row r="35" ht="22" customHeight="1">
      <c r="B35" s="74">
        <f>Ratios!C5</f>
        <v/>
      </c>
      <c r="C35" s="8" t="n"/>
      <c r="D35" s="74">
        <f>Ratios!C6</f>
        <v/>
      </c>
      <c r="E35" s="8" t="n"/>
      <c r="F35" s="75">
        <f>Ratios!C9</f>
        <v/>
      </c>
      <c r="G35" s="8" t="n"/>
      <c r="H35" s="76">
        <f>Ratios!C16</f>
        <v/>
      </c>
      <c r="I35" s="8" t="n"/>
      <c r="J35" s="76">
        <f>Ratios!C17</f>
        <v/>
      </c>
      <c r="K35" s="8" t="n"/>
      <c r="L35" s="74">
        <f>Ratios!C23</f>
        <v/>
      </c>
      <c r="M35" s="8" t="n"/>
      <c r="N35" s="74">
        <f>Ratios!C29</f>
        <v/>
      </c>
      <c r="O35" s="8" t="n"/>
    </row>
    <row r="36">
      <c r="B36" s="77">
        <f>IF(Ratios!D5="","","target "&amp;TEXT(Ratios!D5,"0.00"))</f>
        <v/>
      </c>
      <c r="C36" s="8" t="n"/>
      <c r="D36" s="77">
        <f>IF(Ratios!D6="","","target "&amp;TEXT(Ratios!D6,"0.00"))</f>
        <v/>
      </c>
      <c r="E36" s="8" t="n"/>
      <c r="F36" s="77">
        <f>IF(Ratios!D9="","","target "&amp;TEXT(Ratios!D9,"0.0%"))</f>
        <v/>
      </c>
      <c r="G36" s="8" t="n"/>
      <c r="H36" s="77">
        <f>IF(Ratios!D16="","","target "&amp;TEXT(Ratios!D16,"0.0"))</f>
        <v/>
      </c>
      <c r="I36" s="8" t="n"/>
      <c r="J36" s="77">
        <f>IF(Ratios!D17="","","target "&amp;TEXT(Ratios!D17,"0.0"))</f>
        <v/>
      </c>
      <c r="K36" s="8" t="n"/>
      <c r="L36" s="77">
        <f>IF(Ratios!D23="","","target "&amp;TEXT(Ratios!D23,"0.00"))</f>
        <v/>
      </c>
      <c r="M36" s="8" t="n"/>
      <c r="N36" s="77">
        <f>IF(Ratios!D29="","","target "&amp;TEXT(Ratios!D29,"0.00"))</f>
        <v/>
      </c>
      <c r="O36" s="8" t="n"/>
    </row>
    <row r="37">
      <c r="B37" s="77">
        <f>Ratios!F5</f>
        <v/>
      </c>
      <c r="C37" s="8" t="n"/>
      <c r="D37" s="77">
        <f>Ratios!F6</f>
        <v/>
      </c>
      <c r="E37" s="8" t="n"/>
      <c r="F37" s="77">
        <f>Ratios!F9</f>
        <v/>
      </c>
      <c r="G37" s="8" t="n"/>
      <c r="H37" s="77">
        <f>Ratios!F16</f>
        <v/>
      </c>
      <c r="I37" s="8" t="n"/>
      <c r="J37" s="77">
        <f>Ratios!F17</f>
        <v/>
      </c>
      <c r="K37" s="8" t="n"/>
      <c r="L37" s="77">
        <f>Ratios!F23</f>
        <v/>
      </c>
      <c r="M37" s="8" t="n"/>
      <c r="N37" s="77">
        <f>Ratios!F29</f>
        <v/>
      </c>
      <c r="O37" s="8" t="n"/>
    </row>
    <row r="38"/>
    <row r="39"/>
    <row r="40">
      <c r="B40" s="78">
        <f>"Overall status: "&amp;Checks!C17</f>
        <v/>
      </c>
    </row>
  </sheetData>
  <mergeCells count="74">
    <mergeCell ref="F4:G4"/>
    <mergeCell ref="H35:I35"/>
    <mergeCell ref="N35:O35"/>
    <mergeCell ref="J5:K5"/>
    <mergeCell ref="I30:P30"/>
    <mergeCell ref="B3:C3"/>
    <mergeCell ref="D34:E34"/>
    <mergeCell ref="F34:G34"/>
    <mergeCell ref="F6:G6"/>
    <mergeCell ref="B1:P1"/>
    <mergeCell ref="J37:K37"/>
    <mergeCell ref="H4:I4"/>
    <mergeCell ref="L37:M37"/>
    <mergeCell ref="B29:D29"/>
    <mergeCell ref="D36:E36"/>
    <mergeCell ref="I27:P27"/>
    <mergeCell ref="N37:O37"/>
    <mergeCell ref="F3:G3"/>
    <mergeCell ref="D6:E6"/>
    <mergeCell ref="B28:D28"/>
    <mergeCell ref="I26:P26"/>
    <mergeCell ref="H34:I34"/>
    <mergeCell ref="L3:P3"/>
    <mergeCell ref="H6:I6"/>
    <mergeCell ref="J34:K34"/>
    <mergeCell ref="N36:O36"/>
    <mergeCell ref="J6:K6"/>
    <mergeCell ref="F5:G5"/>
    <mergeCell ref="I25:P25"/>
    <mergeCell ref="I32:P32"/>
    <mergeCell ref="F36:G36"/>
    <mergeCell ref="B30:D30"/>
    <mergeCell ref="H36:I36"/>
    <mergeCell ref="I28:P28"/>
    <mergeCell ref="L5:P5"/>
    <mergeCell ref="J36:K36"/>
    <mergeCell ref="B40:P40"/>
    <mergeCell ref="B24:D24"/>
    <mergeCell ref="F35:G35"/>
    <mergeCell ref="J35:K35"/>
    <mergeCell ref="L4:P4"/>
    <mergeCell ref="L35:M35"/>
    <mergeCell ref="F2:P2"/>
    <mergeCell ref="C2:D2"/>
    <mergeCell ref="B34:C34"/>
    <mergeCell ref="B32:D32"/>
    <mergeCell ref="B37:C37"/>
    <mergeCell ref="D37:E37"/>
    <mergeCell ref="B26:D26"/>
    <mergeCell ref="I24:P24"/>
    <mergeCell ref="D4:E4"/>
    <mergeCell ref="H37:I37"/>
    <mergeCell ref="D3:E3"/>
    <mergeCell ref="B25:D25"/>
    <mergeCell ref="H3:I3"/>
    <mergeCell ref="B6:C6"/>
    <mergeCell ref="J3:K3"/>
    <mergeCell ref="B7:P7"/>
    <mergeCell ref="F37:G37"/>
    <mergeCell ref="L34:M34"/>
    <mergeCell ref="N34:O34"/>
    <mergeCell ref="B31:D31"/>
    <mergeCell ref="B5:C5"/>
    <mergeCell ref="L6:P6"/>
    <mergeCell ref="I29:P29"/>
    <mergeCell ref="D5:E5"/>
    <mergeCell ref="B27:D27"/>
    <mergeCell ref="B36:C36"/>
    <mergeCell ref="H5:I5"/>
    <mergeCell ref="L36:M36"/>
    <mergeCell ref="B35:C35"/>
    <mergeCell ref="B4:C4"/>
    <mergeCell ref="D35:E35"/>
    <mergeCell ref="I31:P31"/>
  </mergeCells>
  <conditionalFormatting sqref="J4">
    <cfRule type="expression" priority="1" dxfId="0">
      <formula>J4&gt;Settings!$C$14*1.1</formula>
    </cfRule>
    <cfRule type="expression" priority="2" dxfId="6">
      <formula>AND(J4&gt;Settings!$C$14,J4&lt;=Settings!$C$14*1.1)</formula>
    </cfRule>
    <cfRule type="expression" priority="3" dxfId="1">
      <formula>J4&lt;=Settings!$C$14</formula>
    </cfRule>
  </conditionalFormatting>
  <conditionalFormatting sqref="K4">
    <cfRule type="expression" priority="4" dxfId="0">
      <formula>K4&gt;Settings!$C$15*1.1</formula>
    </cfRule>
    <cfRule type="expression" priority="5" dxfId="6">
      <formula>AND(K4&gt;Settings!$C$15,K4&lt;=Settings!$C$15*1.1)</formula>
    </cfRule>
    <cfRule type="expression" priority="6" dxfId="1">
      <formula>K4&lt;=Settings!$C$15</formula>
    </cfRule>
  </conditionalFormatting>
  <conditionalFormatting sqref="L4">
    <cfRule type="expression" priority="7" dxfId="7">
      <formula>L4&lt;0</formula>
    </cfRule>
  </conditionalFormatting>
  <conditionalFormatting sqref="F4">
    <cfRule type="expression" priority="8" dxfId="7">
      <formula>F4&lt;0</formula>
    </cfRule>
  </conditionalFormatting>
  <conditionalFormatting sqref="B37">
    <cfRule type="expression" priority="9" dxfId="1">
      <formula>B37="On target"</formula>
    </cfRule>
    <cfRule type="expression" priority="10" dxfId="6">
      <formula>B37="Watch"</formula>
    </cfRule>
    <cfRule type="expression" priority="11" dxfId="0">
      <formula>B37="Off target"</formula>
    </cfRule>
  </conditionalFormatting>
  <conditionalFormatting sqref="D37">
    <cfRule type="expression" priority="12" dxfId="1">
      <formula>D37="On target"</formula>
    </cfRule>
    <cfRule type="expression" priority="13" dxfId="6">
      <formula>D37="Watch"</formula>
    </cfRule>
    <cfRule type="expression" priority="14" dxfId="0">
      <formula>D37="Off target"</formula>
    </cfRule>
  </conditionalFormatting>
  <conditionalFormatting sqref="F37">
    <cfRule type="expression" priority="15" dxfId="1">
      <formula>F37="On target"</formula>
    </cfRule>
    <cfRule type="expression" priority="16" dxfId="6">
      <formula>F37="Watch"</formula>
    </cfRule>
    <cfRule type="expression" priority="17" dxfId="0">
      <formula>F37="Off target"</formula>
    </cfRule>
  </conditionalFormatting>
  <conditionalFormatting sqref="H37">
    <cfRule type="expression" priority="18" dxfId="1">
      <formula>H37="On target"</formula>
    </cfRule>
    <cfRule type="expression" priority="19" dxfId="6">
      <formula>H37="Watch"</formula>
    </cfRule>
    <cfRule type="expression" priority="20" dxfId="0">
      <formula>H37="Off target"</formula>
    </cfRule>
  </conditionalFormatting>
  <conditionalFormatting sqref="J37">
    <cfRule type="expression" priority="21" dxfId="1">
      <formula>J37="On target"</formula>
    </cfRule>
    <cfRule type="expression" priority="22" dxfId="6">
      <formula>J37="Watch"</formula>
    </cfRule>
    <cfRule type="expression" priority="23" dxfId="0">
      <formula>J37="Off target"</formula>
    </cfRule>
  </conditionalFormatting>
  <conditionalFormatting sqref="L37">
    <cfRule type="expression" priority="24" dxfId="1">
      <formula>L37="On target"</formula>
    </cfRule>
    <cfRule type="expression" priority="25" dxfId="6">
      <formula>L37="Watch"</formula>
    </cfRule>
    <cfRule type="expression" priority="26" dxfId="0">
      <formula>L37="Off target"</formula>
    </cfRule>
  </conditionalFormatting>
  <conditionalFormatting sqref="N37">
    <cfRule type="expression" priority="27" dxfId="1">
      <formula>N37="On target"</formula>
    </cfRule>
    <cfRule type="expression" priority="28" dxfId="6">
      <formula>N37="Watch"</formula>
    </cfRule>
    <cfRule type="expression" priority="29" dxfId="0">
      <formula>N37="Off target"</formula>
    </cfRule>
  </conditionalFormatting>
  <conditionalFormatting sqref="B40">
    <cfRule type="expression" priority="30" dxfId="8">
      <formula>Checks!$C$17="All checks OK"</formula>
    </cfRule>
    <cfRule type="expression" priority="31" dxfId="9">
      <formula>Checks!$C$17&lt;&gt;"All checks OK"</formula>
    </cfRule>
  </conditionalFormatting>
  <dataValidations count="1">
    <dataValidation sqref="C2" showDropDown="0" showInputMessage="1" showErrorMessage="0" allowBlank="1" errorTitle="Invalid entry" error="Choose a value from the list." prompt="Choose the month to report" type="list">
      <formula1>=Lists!$B$4:$B$15</formula1>
    </dataValidation>
  </dataValidations>
  <printOptions horizontalCentered="1"/>
  <pageMargins left="0.4" right="0.4" top="0.6" bottom="0.6" header="0.5" footer="0.5"/>
  <pageSetup orientation="landscape" paperSize="9" fitToHeight="1" fitToWidth="1"/>
  <headerFooter>
    <oddHeader/>
    <oddFooter>&amp;C&amp;8 Investopia Academy · A platform by Erudite Africa Investments PLC · investopia.et&amp;R&amp;8 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6.xml><?xml version="1.0" encoding="utf-8"?>
<worksheet xmlns="http://schemas.openxmlformats.org/spreadsheetml/2006/main">
  <sheetPr>
    <tabColor rgb="000F4C3A"/>
    <outlinePr summaryBelow="1" summaryRight="1"/>
    <pageSetUpPr fitToPage="1"/>
  </sheetPr>
  <dimension ref="A1:D19"/>
  <sheetViews>
    <sheetView showGridLines="0" workbookViewId="0">
      <pane ySplit="3" topLeftCell="A4" activePane="bottomLeft" state="frozen"/>
      <selection pane="bottomLeft" activeCell="A1" sqref="A1"/>
    </sheetView>
  </sheetViews>
  <sheetFormatPr baseColWidth="8" defaultRowHeight="15"/>
  <cols>
    <col width="3" customWidth="1" min="1" max="1"/>
    <col width="58" customWidth="1" min="2" max="2"/>
    <col width="16" customWidth="1" min="3" max="3"/>
    <col width="72" customWidth="1" min="4" max="4"/>
  </cols>
  <sheetData>
    <row r="1" ht="26" customHeight="1">
      <c r="A1" s="1" t="inlineStr">
        <is>
          <t>Checks</t>
        </is>
      </c>
      <c r="B1" s="2" t="n"/>
      <c r="C1" s="2" t="n"/>
      <c r="D1" s="2" t="n"/>
    </row>
    <row r="2">
      <c r="A2" s="23" t="inlineStr">
        <is>
          <t>Every check must show 0 before the monthly pack is sent.</t>
        </is>
      </c>
    </row>
    <row r="3" ht="20" customHeight="1">
      <c r="B3" s="7" t="inlineStr">
        <is>
          <t>Check</t>
        </is>
      </c>
      <c r="C3" s="7" t="inlineStr">
        <is>
          <t>Value</t>
        </is>
      </c>
      <c r="D3" s="7" t="inlineStr">
        <is>
          <t>Formula</t>
        </is>
      </c>
    </row>
    <row r="4">
      <c r="B4" s="10" t="inlineStr">
        <is>
          <t>Balance sheet balances</t>
        </is>
      </c>
      <c r="C4" s="41">
        <f>BS!D12-BS!D26</f>
        <v/>
      </c>
      <c r="D4" s="14" t="inlineStr">
        <is>
          <t>BS!D12 - BS!D26</t>
        </is>
      </c>
    </row>
    <row r="5">
      <c r="B5" s="10" t="inlineStr">
        <is>
          <t>Cash flow agrees to bank</t>
        </is>
      </c>
      <c r="C5" s="41">
        <f>CF!C26-BS!D10</f>
        <v/>
      </c>
      <c r="D5" s="14" t="inlineStr">
        <is>
          <t>CF closing cash - BS!D10</t>
        </is>
      </c>
    </row>
    <row r="6" ht="33" customHeight="1">
      <c r="B6" s="10" t="inlineStr">
        <is>
          <t>IS revenue equals pivot revenue</t>
        </is>
      </c>
      <c r="C6" s="41">
        <f>IS!C9-'Pivot by line'!P34</f>
        <v/>
      </c>
      <c r="D6" s="14" t="inlineStr">
        <is>
          <t>IS!C9 - revenue on the Pivot by line sheet for the current period. With a real pivot: IS!C9 - GETPIVOTDATA("Amount",'Pivot by line'!$A$3,"Type","Revenue")</t>
        </is>
      </c>
    </row>
    <row r="7">
      <c r="B7" s="10" t="inlineStr">
        <is>
          <t>Unmapped rows</t>
        </is>
      </c>
      <c r="C7" s="41">
        <f>COUNTIF(Transactions!$F$5:$F$1004,"UNMAPPED")</f>
        <v/>
      </c>
      <c r="D7" s="14" t="inlineStr">
        <is>
          <t>COUNTIF(tblTxn[Line],"UNMAPPED")</t>
        </is>
      </c>
    </row>
    <row r="8">
      <c r="B8" s="10" t="inlineStr">
        <is>
          <t>Rows outside any period</t>
        </is>
      </c>
      <c r="C8" s="41">
        <f>COUNTIF(Transactions!$B$5:$B$1004,"No period")</f>
        <v/>
      </c>
      <c r="D8" s="14" t="inlineStr">
        <is>
          <t>COUNTIF(tblTxn[Period],"No period")</t>
        </is>
      </c>
    </row>
    <row r="9">
      <c r="B9" s="10" t="inlineStr">
        <is>
          <t>Stock register equals BS inventory</t>
        </is>
      </c>
      <c r="C9" s="41">
        <f>Stock!J11-BS!D7</f>
        <v/>
      </c>
      <c r="D9" s="14" t="inlineStr">
        <is>
          <t>Stock total after count - BS!D7</t>
        </is>
      </c>
    </row>
    <row r="10">
      <c r="B10" s="10" t="inlineStr">
        <is>
          <t>Count gap equals posted adjustment</t>
        </is>
      </c>
      <c r="C10" s="41">
        <f>-Stock!I11-SUMIFS(Transactions!$N$5:$N$1004,Transactions!$E$5:$E$1004,5020,Transactions!$B$5:$B$1004,Settings!C4)</f>
        <v/>
      </c>
      <c r="D10" s="14" t="inlineStr">
        <is>
          <t>- Stock total gap value - posted account 5020 in the period</t>
        </is>
      </c>
    </row>
    <row r="11">
      <c r="B11" s="10" t="inlineStr">
        <is>
          <t>Asset register NBV equals BS PPE</t>
        </is>
      </c>
      <c r="C11" s="41">
        <f>Assets!K12-BS!D6</f>
        <v/>
      </c>
      <c r="D11" s="14" t="inlineStr">
        <is>
          <t>Assets NBV total - BS!D6</t>
        </is>
      </c>
    </row>
    <row r="12">
      <c r="B12" s="10" t="inlineStr">
        <is>
          <t>Register depreciation equals posted depreciation</t>
        </is>
      </c>
      <c r="C12" s="41">
        <f>Assets!H12-(IS!C15+IS!C22)</f>
        <v/>
      </c>
      <c r="D12" s="14" t="inlineStr">
        <is>
          <t>Assets monthly total - (IS!C15 + IS!C22)</t>
        </is>
      </c>
    </row>
    <row r="13">
      <c r="B13" s="10" t="inlineStr">
        <is>
          <t>Net aging equals BS receivables</t>
        </is>
      </c>
      <c r="C13" s="41">
        <f>Aging!G11-Aging!D22-BS!D8</f>
        <v/>
      </c>
      <c r="D13" s="14" t="inlineStr">
        <is>
          <t>Aging total - allowance - BS!D8</t>
        </is>
      </c>
    </row>
    <row r="14">
      <c r="B14" s="10" t="inlineStr">
        <is>
          <t>Allowance charge equals posted charge</t>
        </is>
      </c>
      <c r="C14" s="41">
        <f>(Aging!D22-Aging!C23)-IS!C23</f>
        <v/>
      </c>
      <c r="D14" s="14" t="inlineStr">
        <is>
          <t>(allowance - brought forward) - IS!C23</t>
        </is>
      </c>
    </row>
    <row r="15">
      <c r="B15" s="10" t="inlineStr">
        <is>
          <t>Tax accrual equals the higher of 30% of PBT and 2.5% of turnover</t>
        </is>
      </c>
      <c r="C15" s="41">
        <f>IS!C34</f>
        <v/>
      </c>
      <c r="D15" s="14" t="inlineStr">
        <is>
          <t>IS!C34</t>
        </is>
      </c>
    </row>
    <row r="16">
      <c r="B16" s="10" t="inlineStr">
        <is>
          <t>Retained earnings roll forward</t>
        </is>
      </c>
      <c r="C16" s="41">
        <f>BS!C24+IS!C29-BS!D30-BS!D24</f>
        <v/>
      </c>
      <c r="D16" s="14" t="inlineStr">
        <is>
          <t>BS!C24 + IS!C29 - dividends - BS!D24</t>
        </is>
      </c>
    </row>
    <row r="17">
      <c r="B17" s="9" t="inlineStr">
        <is>
          <t>Overall status</t>
        </is>
      </c>
      <c r="C17" s="79">
        <f>IF(SUMPRODUCT(ABS(C4:C16))=0,"All checks OK","Fix checks")</f>
        <v/>
      </c>
    </row>
    <row r="18"/>
    <row r="19" ht="22" customHeight="1">
      <c r="A19" s="11" t="inlineStr">
        <is>
          <t>Investopia Academy · A platform by Erudite Africa Investments PLC · investopia.et</t>
        </is>
      </c>
      <c r="B19" s="12" t="n"/>
      <c r="C19" s="12" t="n"/>
      <c r="D19" s="12" t="n"/>
    </row>
  </sheetData>
  <mergeCells count="1">
    <mergeCell ref="A19:D19"/>
  </mergeCells>
  <conditionalFormatting sqref="C4:C16">
    <cfRule type="expression" priority="1" dxfId="0">
      <formula>AND(ISNUMBER(C4),ABS(C4)&gt;0.005)</formula>
    </cfRule>
    <cfRule type="expression" priority="2" dxfId="1">
      <formula>AND(ISNUMBER(C4),ABS(C4)&lt;=0.005)</formula>
    </cfRule>
  </conditionalFormatting>
  <conditionalFormatting sqref="C17">
    <cfRule type="expression" priority="3" dxfId="1">
      <formula>C17="All checks OK"</formula>
    </cfRule>
    <cfRule type="expression" priority="4" dxfId="0">
      <formula>C17&lt;&gt;"All checks OK"</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17.xml><?xml version="1.0" encoding="utf-8"?>
<worksheet xmlns="http://schemas.openxmlformats.org/spreadsheetml/2006/main">
  <sheetPr>
    <tabColor rgb="000F4C3A"/>
    <outlinePr summaryBelow="1" summaryRight="1"/>
    <pageSetUpPr fitToPage="1"/>
  </sheetPr>
  <dimension ref="A1:P36"/>
  <sheetViews>
    <sheetView showGridLines="0" workbookViewId="0">
      <pane xSplit="2" ySplit="13" topLeftCell="C14" activePane="bottomRight" state="frozen"/>
      <selection pane="topRight"/>
      <selection pane="bottomLeft"/>
      <selection pane="bottomRight" activeCell="A1" sqref="A1"/>
    </sheetView>
  </sheetViews>
  <sheetFormatPr baseColWidth="8" defaultRowHeight="15"/>
  <cols>
    <col width="14" customWidth="1" min="1" max="1"/>
    <col width="3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4" customWidth="1" min="16" max="16"/>
  </cols>
  <sheetData>
    <row r="1" ht="26" customHeight="1">
      <c r="A1" s="1" t="inlineStr">
        <is>
          <t>Pivot by line: Sum of Amount by Line and Period</t>
        </is>
      </c>
      <c r="B1" s="2" t="n"/>
      <c r="C1" s="2" t="n"/>
      <c r="D1" s="2" t="n"/>
      <c r="E1" s="2" t="n"/>
      <c r="F1" s="2" t="n"/>
      <c r="G1" s="2" t="n"/>
      <c r="H1" s="2" t="n"/>
      <c r="I1" s="2" t="n"/>
      <c r="J1" s="2" t="n"/>
      <c r="K1" s="2" t="n"/>
      <c r="L1" s="2" t="n"/>
      <c r="M1" s="2" t="n"/>
      <c r="N1" s="2" t="n"/>
      <c r="O1" s="2" t="n"/>
      <c r="P1" s="2" t="n"/>
    </row>
    <row r="2"/>
    <row r="3">
      <c r="A3" s="80" t="inlineStr">
        <is>
          <t>How to insert the real pivot table: click any cell in tblTxn (Transactions sheet), choose Insert &gt; PivotTable, New worksheet or this sheet below row 40, then drag Line to Rows, Period to Columns, Amount to Values (Sum, number format #,##0) and Type to Filters; add slicers for Region and Terms (PivotTable Analyze &gt; Insert Slicer). Refresh with Data &gt; Refresh All after changing data. Sum Amount (before VAT), not Gross. The table below is a SUMIFS version with the same layout so the file works without a pivot; the filter cells C9:C11 act like the Type filter and the Region and Terms slicers.</t>
        </is>
      </c>
      <c r="B3" s="81" t="n"/>
      <c r="C3" s="81" t="n"/>
      <c r="D3" s="81" t="n"/>
      <c r="E3" s="81" t="n"/>
      <c r="F3" s="81" t="n"/>
      <c r="G3" s="81" t="n"/>
      <c r="H3" s="81" t="n"/>
      <c r="I3" s="81" t="n"/>
      <c r="J3" s="81" t="n"/>
      <c r="K3" s="81" t="n"/>
      <c r="L3" s="81" t="n"/>
      <c r="M3" s="81" t="n"/>
      <c r="N3" s="81" t="n"/>
      <c r="O3" s="81" t="n"/>
      <c r="P3" s="81" t="n"/>
    </row>
    <row r="4">
      <c r="A4" s="81" t="n"/>
      <c r="B4" s="81" t="n"/>
      <c r="C4" s="81" t="n"/>
      <c r="D4" s="81" t="n"/>
      <c r="E4" s="81" t="n"/>
      <c r="F4" s="81" t="n"/>
      <c r="G4" s="81" t="n"/>
      <c r="H4" s="81" t="n"/>
      <c r="I4" s="81" t="n"/>
      <c r="J4" s="81" t="n"/>
      <c r="K4" s="81" t="n"/>
      <c r="L4" s="81" t="n"/>
      <c r="M4" s="81" t="n"/>
      <c r="N4" s="81" t="n"/>
      <c r="O4" s="81" t="n"/>
      <c r="P4" s="81" t="n"/>
    </row>
    <row r="5">
      <c r="A5" s="81" t="n"/>
      <c r="B5" s="81" t="n"/>
      <c r="C5" s="81" t="n"/>
      <c r="D5" s="81" t="n"/>
      <c r="E5" s="81" t="n"/>
      <c r="F5" s="81" t="n"/>
      <c r="G5" s="81" t="n"/>
      <c r="H5" s="81" t="n"/>
      <c r="I5" s="81" t="n"/>
      <c r="J5" s="81" t="n"/>
      <c r="K5" s="81" t="n"/>
      <c r="L5" s="81" t="n"/>
      <c r="M5" s="81" t="n"/>
      <c r="N5" s="81" t="n"/>
      <c r="O5" s="81" t="n"/>
      <c r="P5" s="81" t="n"/>
    </row>
    <row r="6">
      <c r="A6" s="81" t="n"/>
      <c r="B6" s="81" t="n"/>
      <c r="C6" s="81" t="n"/>
      <c r="D6" s="81" t="n"/>
      <c r="E6" s="81" t="n"/>
      <c r="F6" s="81" t="n"/>
      <c r="G6" s="81" t="n"/>
      <c r="H6" s="81" t="n"/>
      <c r="I6" s="81" t="n"/>
      <c r="J6" s="81" t="n"/>
      <c r="K6" s="81" t="n"/>
      <c r="L6" s="81" t="n"/>
      <c r="M6" s="81" t="n"/>
      <c r="N6" s="81" t="n"/>
      <c r="O6" s="81" t="n"/>
      <c r="P6" s="81" t="n"/>
    </row>
    <row r="7">
      <c r="A7" s="81" t="n"/>
      <c r="B7" s="81" t="n"/>
      <c r="C7" s="81" t="n"/>
      <c r="D7" s="81" t="n"/>
      <c r="E7" s="81" t="n"/>
      <c r="F7" s="81" t="n"/>
      <c r="G7" s="81" t="n"/>
      <c r="H7" s="81" t="n"/>
      <c r="I7" s="81" t="n"/>
      <c r="J7" s="81" t="n"/>
      <c r="K7" s="81" t="n"/>
      <c r="L7" s="81" t="n"/>
      <c r="M7" s="81" t="n"/>
      <c r="N7" s="81" t="n"/>
      <c r="O7" s="81" t="n"/>
      <c r="P7" s="81" t="n"/>
    </row>
    <row r="8"/>
    <row r="9">
      <c r="B9" s="9" t="inlineStr">
        <is>
          <t>Type</t>
        </is>
      </c>
      <c r="C9" s="25" t="inlineStr">
        <is>
          <t>All</t>
        </is>
      </c>
    </row>
    <row r="10">
      <c r="B10" s="9" t="inlineStr">
        <is>
          <t>Region</t>
        </is>
      </c>
      <c r="C10" s="25" t="inlineStr">
        <is>
          <t>All</t>
        </is>
      </c>
    </row>
    <row r="11">
      <c r="B11" s="9" t="inlineStr">
        <is>
          <t>Terms</t>
        </is>
      </c>
      <c r="C11" s="25" t="inlineStr">
        <is>
          <t>All</t>
        </is>
      </c>
    </row>
    <row r="12"/>
    <row r="13" ht="30" customHeight="1">
      <c r="A13" s="7" t="inlineStr">
        <is>
          <t>Section</t>
        </is>
      </c>
      <c r="B13" s="7" t="inlineStr">
        <is>
          <t>Line</t>
        </is>
      </c>
      <c r="C13" s="7" t="inlineStr">
        <is>
          <t>P01 Hamle</t>
        </is>
      </c>
      <c r="D13" s="7" t="inlineStr">
        <is>
          <t>P02 Nehase</t>
        </is>
      </c>
      <c r="E13" s="7" t="inlineStr">
        <is>
          <t>P03 Meskerem</t>
        </is>
      </c>
      <c r="F13" s="7" t="inlineStr">
        <is>
          <t>P04 Tikimt</t>
        </is>
      </c>
      <c r="G13" s="7" t="inlineStr">
        <is>
          <t>P05 Hidar</t>
        </is>
      </c>
      <c r="H13" s="7" t="inlineStr">
        <is>
          <t>P06 Tahsas</t>
        </is>
      </c>
      <c r="I13" s="7" t="inlineStr">
        <is>
          <t>P07 Tir</t>
        </is>
      </c>
      <c r="J13" s="7" t="inlineStr">
        <is>
          <t>P08 Yekatit</t>
        </is>
      </c>
      <c r="K13" s="7" t="inlineStr">
        <is>
          <t>P09 Megabit</t>
        </is>
      </c>
      <c r="L13" s="7" t="inlineStr">
        <is>
          <t>P10 Miyazia</t>
        </is>
      </c>
      <c r="M13" s="7" t="inlineStr">
        <is>
          <t>P11 Ginbot</t>
        </is>
      </c>
      <c r="N13" s="7" t="inlineStr">
        <is>
          <t>P12 Sene</t>
        </is>
      </c>
      <c r="O13" s="7" t="inlineStr">
        <is>
          <t>Grand total</t>
        </is>
      </c>
      <c r="P13" s="7" t="inlineStr">
        <is>
          <t>Current period</t>
        </is>
      </c>
    </row>
    <row r="14">
      <c r="A14" s="27">
        <f>IFERROR(INDEX(Lists!$I$4:$I$40,MATCH(B14,Lists!$H$4:$H$40,0)),"")</f>
        <v/>
      </c>
      <c r="B14" s="25" t="inlineStr">
        <is>
          <t>Revenue: flour</t>
        </is>
      </c>
      <c r="C14" s="31">
        <f>SUMIFS(Transactions!$N$5:$N$1004,Transactions!$F$5:$F$1004,$B14,Transactions!$B$5:$B$1004,C$13,Transactions!$G$5:$G$1004,IF($C$9="All","&lt;&gt;",$C$9),Transactions!$J$5:$J$1004,IF($C$10="All","&lt;&gt;",$C$10),Transactions!$K$5:$K$1004,IF($C$11="All","&lt;&gt;",$C$11))</f>
        <v/>
      </c>
      <c r="D14" s="31">
        <f>SUMIFS(Transactions!$N$5:$N$1004,Transactions!$F$5:$F$1004,$B14,Transactions!$B$5:$B$1004,D$13,Transactions!$G$5:$G$1004,IF($C$9="All","&lt;&gt;",$C$9),Transactions!$J$5:$J$1004,IF($C$10="All","&lt;&gt;",$C$10),Transactions!$K$5:$K$1004,IF($C$11="All","&lt;&gt;",$C$11))</f>
        <v/>
      </c>
      <c r="E14" s="31">
        <f>SUMIFS(Transactions!$N$5:$N$1004,Transactions!$F$5:$F$1004,$B14,Transactions!$B$5:$B$1004,E$13,Transactions!$G$5:$G$1004,IF($C$9="All","&lt;&gt;",$C$9),Transactions!$J$5:$J$1004,IF($C$10="All","&lt;&gt;",$C$10),Transactions!$K$5:$K$1004,IF($C$11="All","&lt;&gt;",$C$11))</f>
        <v/>
      </c>
      <c r="F14" s="31">
        <f>SUMIFS(Transactions!$N$5:$N$1004,Transactions!$F$5:$F$1004,$B14,Transactions!$B$5:$B$1004,F$13,Transactions!$G$5:$G$1004,IF($C$9="All","&lt;&gt;",$C$9),Transactions!$J$5:$J$1004,IF($C$10="All","&lt;&gt;",$C$10),Transactions!$K$5:$K$1004,IF($C$11="All","&lt;&gt;",$C$11))</f>
        <v/>
      </c>
      <c r="G14" s="31">
        <f>SUMIFS(Transactions!$N$5:$N$1004,Transactions!$F$5:$F$1004,$B14,Transactions!$B$5:$B$1004,G$13,Transactions!$G$5:$G$1004,IF($C$9="All","&lt;&gt;",$C$9),Transactions!$J$5:$J$1004,IF($C$10="All","&lt;&gt;",$C$10),Transactions!$K$5:$K$1004,IF($C$11="All","&lt;&gt;",$C$11))</f>
        <v/>
      </c>
      <c r="H14" s="31">
        <f>SUMIFS(Transactions!$N$5:$N$1004,Transactions!$F$5:$F$1004,$B14,Transactions!$B$5:$B$1004,H$13,Transactions!$G$5:$G$1004,IF($C$9="All","&lt;&gt;",$C$9),Transactions!$J$5:$J$1004,IF($C$10="All","&lt;&gt;",$C$10),Transactions!$K$5:$K$1004,IF($C$11="All","&lt;&gt;",$C$11))</f>
        <v/>
      </c>
      <c r="I14" s="31">
        <f>SUMIFS(Transactions!$N$5:$N$1004,Transactions!$F$5:$F$1004,$B14,Transactions!$B$5:$B$1004,I$13,Transactions!$G$5:$G$1004,IF($C$9="All","&lt;&gt;",$C$9),Transactions!$J$5:$J$1004,IF($C$10="All","&lt;&gt;",$C$10),Transactions!$K$5:$K$1004,IF($C$11="All","&lt;&gt;",$C$11))</f>
        <v/>
      </c>
      <c r="J14" s="31">
        <f>SUMIFS(Transactions!$N$5:$N$1004,Transactions!$F$5:$F$1004,$B14,Transactions!$B$5:$B$1004,J$13,Transactions!$G$5:$G$1004,IF($C$9="All","&lt;&gt;",$C$9),Transactions!$J$5:$J$1004,IF($C$10="All","&lt;&gt;",$C$10),Transactions!$K$5:$K$1004,IF($C$11="All","&lt;&gt;",$C$11))</f>
        <v/>
      </c>
      <c r="K14" s="31">
        <f>SUMIFS(Transactions!$N$5:$N$1004,Transactions!$F$5:$F$1004,$B14,Transactions!$B$5:$B$1004,K$13,Transactions!$G$5:$G$1004,IF($C$9="All","&lt;&gt;",$C$9),Transactions!$J$5:$J$1004,IF($C$10="All","&lt;&gt;",$C$10),Transactions!$K$5:$K$1004,IF($C$11="All","&lt;&gt;",$C$11))</f>
        <v/>
      </c>
      <c r="L14" s="31">
        <f>SUMIFS(Transactions!$N$5:$N$1004,Transactions!$F$5:$F$1004,$B14,Transactions!$B$5:$B$1004,L$13,Transactions!$G$5:$G$1004,IF($C$9="All","&lt;&gt;",$C$9),Transactions!$J$5:$J$1004,IF($C$10="All","&lt;&gt;",$C$10),Transactions!$K$5:$K$1004,IF($C$11="All","&lt;&gt;",$C$11))</f>
        <v/>
      </c>
      <c r="M14" s="31">
        <f>SUMIFS(Transactions!$N$5:$N$1004,Transactions!$F$5:$F$1004,$B14,Transactions!$B$5:$B$1004,M$13,Transactions!$G$5:$G$1004,IF($C$9="All","&lt;&gt;",$C$9),Transactions!$J$5:$J$1004,IF($C$10="All","&lt;&gt;",$C$10),Transactions!$K$5:$K$1004,IF($C$11="All","&lt;&gt;",$C$11))</f>
        <v/>
      </c>
      <c r="N14" s="31">
        <f>SUMIFS(Transactions!$N$5:$N$1004,Transactions!$F$5:$F$1004,$B14,Transactions!$B$5:$B$1004,N$13,Transactions!$G$5:$G$1004,IF($C$9="All","&lt;&gt;",$C$9),Transactions!$J$5:$J$1004,IF($C$10="All","&lt;&gt;",$C$10),Transactions!$K$5:$K$1004,IF($C$11="All","&lt;&gt;",$C$11))</f>
        <v/>
      </c>
      <c r="O14" s="41">
        <f>SUM(C14:N14)</f>
        <v/>
      </c>
      <c r="P14" s="31">
        <f>INDEX(C14:N14,MATCH(Settings!$C$4,$C$13:$N$13,0))</f>
        <v/>
      </c>
    </row>
    <row r="15">
      <c r="A15" s="27">
        <f>IFERROR(INDEX(Lists!$I$4:$I$40,MATCH(B15,Lists!$H$4:$H$40,0)),"")</f>
        <v/>
      </c>
      <c r="B15" s="25" t="inlineStr">
        <is>
          <t>Revenue: pasta</t>
        </is>
      </c>
      <c r="C15" s="31">
        <f>SUMIFS(Transactions!$N$5:$N$1004,Transactions!$F$5:$F$1004,$B15,Transactions!$B$5:$B$1004,C$13,Transactions!$G$5:$G$1004,IF($C$9="All","&lt;&gt;",$C$9),Transactions!$J$5:$J$1004,IF($C$10="All","&lt;&gt;",$C$10),Transactions!$K$5:$K$1004,IF($C$11="All","&lt;&gt;",$C$11))</f>
        <v/>
      </c>
      <c r="D15" s="31">
        <f>SUMIFS(Transactions!$N$5:$N$1004,Transactions!$F$5:$F$1004,$B15,Transactions!$B$5:$B$1004,D$13,Transactions!$G$5:$G$1004,IF($C$9="All","&lt;&gt;",$C$9),Transactions!$J$5:$J$1004,IF($C$10="All","&lt;&gt;",$C$10),Transactions!$K$5:$K$1004,IF($C$11="All","&lt;&gt;",$C$11))</f>
        <v/>
      </c>
      <c r="E15" s="31">
        <f>SUMIFS(Transactions!$N$5:$N$1004,Transactions!$F$5:$F$1004,$B15,Transactions!$B$5:$B$1004,E$13,Transactions!$G$5:$G$1004,IF($C$9="All","&lt;&gt;",$C$9),Transactions!$J$5:$J$1004,IF($C$10="All","&lt;&gt;",$C$10),Transactions!$K$5:$K$1004,IF($C$11="All","&lt;&gt;",$C$11))</f>
        <v/>
      </c>
      <c r="F15" s="31">
        <f>SUMIFS(Transactions!$N$5:$N$1004,Transactions!$F$5:$F$1004,$B15,Transactions!$B$5:$B$1004,F$13,Transactions!$G$5:$G$1004,IF($C$9="All","&lt;&gt;",$C$9),Transactions!$J$5:$J$1004,IF($C$10="All","&lt;&gt;",$C$10),Transactions!$K$5:$K$1004,IF($C$11="All","&lt;&gt;",$C$11))</f>
        <v/>
      </c>
      <c r="G15" s="31">
        <f>SUMIFS(Transactions!$N$5:$N$1004,Transactions!$F$5:$F$1004,$B15,Transactions!$B$5:$B$1004,G$13,Transactions!$G$5:$G$1004,IF($C$9="All","&lt;&gt;",$C$9),Transactions!$J$5:$J$1004,IF($C$10="All","&lt;&gt;",$C$10),Transactions!$K$5:$K$1004,IF($C$11="All","&lt;&gt;",$C$11))</f>
        <v/>
      </c>
      <c r="H15" s="31">
        <f>SUMIFS(Transactions!$N$5:$N$1004,Transactions!$F$5:$F$1004,$B15,Transactions!$B$5:$B$1004,H$13,Transactions!$G$5:$G$1004,IF($C$9="All","&lt;&gt;",$C$9),Transactions!$J$5:$J$1004,IF($C$10="All","&lt;&gt;",$C$10),Transactions!$K$5:$K$1004,IF($C$11="All","&lt;&gt;",$C$11))</f>
        <v/>
      </c>
      <c r="I15" s="31">
        <f>SUMIFS(Transactions!$N$5:$N$1004,Transactions!$F$5:$F$1004,$B15,Transactions!$B$5:$B$1004,I$13,Transactions!$G$5:$G$1004,IF($C$9="All","&lt;&gt;",$C$9),Transactions!$J$5:$J$1004,IF($C$10="All","&lt;&gt;",$C$10),Transactions!$K$5:$K$1004,IF($C$11="All","&lt;&gt;",$C$11))</f>
        <v/>
      </c>
      <c r="J15" s="31">
        <f>SUMIFS(Transactions!$N$5:$N$1004,Transactions!$F$5:$F$1004,$B15,Transactions!$B$5:$B$1004,J$13,Transactions!$G$5:$G$1004,IF($C$9="All","&lt;&gt;",$C$9),Transactions!$J$5:$J$1004,IF($C$10="All","&lt;&gt;",$C$10),Transactions!$K$5:$K$1004,IF($C$11="All","&lt;&gt;",$C$11))</f>
        <v/>
      </c>
      <c r="K15" s="31">
        <f>SUMIFS(Transactions!$N$5:$N$1004,Transactions!$F$5:$F$1004,$B15,Transactions!$B$5:$B$1004,K$13,Transactions!$G$5:$G$1004,IF($C$9="All","&lt;&gt;",$C$9),Transactions!$J$5:$J$1004,IF($C$10="All","&lt;&gt;",$C$10),Transactions!$K$5:$K$1004,IF($C$11="All","&lt;&gt;",$C$11))</f>
        <v/>
      </c>
      <c r="L15" s="31">
        <f>SUMIFS(Transactions!$N$5:$N$1004,Transactions!$F$5:$F$1004,$B15,Transactions!$B$5:$B$1004,L$13,Transactions!$G$5:$G$1004,IF($C$9="All","&lt;&gt;",$C$9),Transactions!$J$5:$J$1004,IF($C$10="All","&lt;&gt;",$C$10),Transactions!$K$5:$K$1004,IF($C$11="All","&lt;&gt;",$C$11))</f>
        <v/>
      </c>
      <c r="M15" s="31">
        <f>SUMIFS(Transactions!$N$5:$N$1004,Transactions!$F$5:$F$1004,$B15,Transactions!$B$5:$B$1004,M$13,Transactions!$G$5:$G$1004,IF($C$9="All","&lt;&gt;",$C$9),Transactions!$J$5:$J$1004,IF($C$10="All","&lt;&gt;",$C$10),Transactions!$K$5:$K$1004,IF($C$11="All","&lt;&gt;",$C$11))</f>
        <v/>
      </c>
      <c r="N15" s="31">
        <f>SUMIFS(Transactions!$N$5:$N$1004,Transactions!$F$5:$F$1004,$B15,Transactions!$B$5:$B$1004,N$13,Transactions!$G$5:$G$1004,IF($C$9="All","&lt;&gt;",$C$9),Transactions!$J$5:$J$1004,IF($C$10="All","&lt;&gt;",$C$10),Transactions!$K$5:$K$1004,IF($C$11="All","&lt;&gt;",$C$11))</f>
        <v/>
      </c>
      <c r="O15" s="41">
        <f>SUM(C15:N15)</f>
        <v/>
      </c>
      <c r="P15" s="31">
        <f>INDEX(C15:N15,MATCH(Settings!$C$4,$C$13:$N$13,0))</f>
        <v/>
      </c>
    </row>
    <row r="16">
      <c r="A16" s="27">
        <f>IFERROR(INDEX(Lists!$I$4:$I$40,MATCH(B16,Lists!$H$4:$H$40,0)),"")</f>
        <v/>
      </c>
      <c r="B16" s="25" t="inlineStr">
        <is>
          <t>Revenue: bran</t>
        </is>
      </c>
      <c r="C16" s="31">
        <f>SUMIFS(Transactions!$N$5:$N$1004,Transactions!$F$5:$F$1004,$B16,Transactions!$B$5:$B$1004,C$13,Transactions!$G$5:$G$1004,IF($C$9="All","&lt;&gt;",$C$9),Transactions!$J$5:$J$1004,IF($C$10="All","&lt;&gt;",$C$10),Transactions!$K$5:$K$1004,IF($C$11="All","&lt;&gt;",$C$11))</f>
        <v/>
      </c>
      <c r="D16" s="31">
        <f>SUMIFS(Transactions!$N$5:$N$1004,Transactions!$F$5:$F$1004,$B16,Transactions!$B$5:$B$1004,D$13,Transactions!$G$5:$G$1004,IF($C$9="All","&lt;&gt;",$C$9),Transactions!$J$5:$J$1004,IF($C$10="All","&lt;&gt;",$C$10),Transactions!$K$5:$K$1004,IF($C$11="All","&lt;&gt;",$C$11))</f>
        <v/>
      </c>
      <c r="E16" s="31">
        <f>SUMIFS(Transactions!$N$5:$N$1004,Transactions!$F$5:$F$1004,$B16,Transactions!$B$5:$B$1004,E$13,Transactions!$G$5:$G$1004,IF($C$9="All","&lt;&gt;",$C$9),Transactions!$J$5:$J$1004,IF($C$10="All","&lt;&gt;",$C$10),Transactions!$K$5:$K$1004,IF($C$11="All","&lt;&gt;",$C$11))</f>
        <v/>
      </c>
      <c r="F16" s="31">
        <f>SUMIFS(Transactions!$N$5:$N$1004,Transactions!$F$5:$F$1004,$B16,Transactions!$B$5:$B$1004,F$13,Transactions!$G$5:$G$1004,IF($C$9="All","&lt;&gt;",$C$9),Transactions!$J$5:$J$1004,IF($C$10="All","&lt;&gt;",$C$10),Transactions!$K$5:$K$1004,IF($C$11="All","&lt;&gt;",$C$11))</f>
        <v/>
      </c>
      <c r="G16" s="31">
        <f>SUMIFS(Transactions!$N$5:$N$1004,Transactions!$F$5:$F$1004,$B16,Transactions!$B$5:$B$1004,G$13,Transactions!$G$5:$G$1004,IF($C$9="All","&lt;&gt;",$C$9),Transactions!$J$5:$J$1004,IF($C$10="All","&lt;&gt;",$C$10),Transactions!$K$5:$K$1004,IF($C$11="All","&lt;&gt;",$C$11))</f>
        <v/>
      </c>
      <c r="H16" s="31">
        <f>SUMIFS(Transactions!$N$5:$N$1004,Transactions!$F$5:$F$1004,$B16,Transactions!$B$5:$B$1004,H$13,Transactions!$G$5:$G$1004,IF($C$9="All","&lt;&gt;",$C$9),Transactions!$J$5:$J$1004,IF($C$10="All","&lt;&gt;",$C$10),Transactions!$K$5:$K$1004,IF($C$11="All","&lt;&gt;",$C$11))</f>
        <v/>
      </c>
      <c r="I16" s="31">
        <f>SUMIFS(Transactions!$N$5:$N$1004,Transactions!$F$5:$F$1004,$B16,Transactions!$B$5:$B$1004,I$13,Transactions!$G$5:$G$1004,IF($C$9="All","&lt;&gt;",$C$9),Transactions!$J$5:$J$1004,IF($C$10="All","&lt;&gt;",$C$10),Transactions!$K$5:$K$1004,IF($C$11="All","&lt;&gt;",$C$11))</f>
        <v/>
      </c>
      <c r="J16" s="31">
        <f>SUMIFS(Transactions!$N$5:$N$1004,Transactions!$F$5:$F$1004,$B16,Transactions!$B$5:$B$1004,J$13,Transactions!$G$5:$G$1004,IF($C$9="All","&lt;&gt;",$C$9),Transactions!$J$5:$J$1004,IF($C$10="All","&lt;&gt;",$C$10),Transactions!$K$5:$K$1004,IF($C$11="All","&lt;&gt;",$C$11))</f>
        <v/>
      </c>
      <c r="K16" s="31">
        <f>SUMIFS(Transactions!$N$5:$N$1004,Transactions!$F$5:$F$1004,$B16,Transactions!$B$5:$B$1004,K$13,Transactions!$G$5:$G$1004,IF($C$9="All","&lt;&gt;",$C$9),Transactions!$J$5:$J$1004,IF($C$10="All","&lt;&gt;",$C$10),Transactions!$K$5:$K$1004,IF($C$11="All","&lt;&gt;",$C$11))</f>
        <v/>
      </c>
      <c r="L16" s="31">
        <f>SUMIFS(Transactions!$N$5:$N$1004,Transactions!$F$5:$F$1004,$B16,Transactions!$B$5:$B$1004,L$13,Transactions!$G$5:$G$1004,IF($C$9="All","&lt;&gt;",$C$9),Transactions!$J$5:$J$1004,IF($C$10="All","&lt;&gt;",$C$10),Transactions!$K$5:$K$1004,IF($C$11="All","&lt;&gt;",$C$11))</f>
        <v/>
      </c>
      <c r="M16" s="31">
        <f>SUMIFS(Transactions!$N$5:$N$1004,Transactions!$F$5:$F$1004,$B16,Transactions!$B$5:$B$1004,M$13,Transactions!$G$5:$G$1004,IF($C$9="All","&lt;&gt;",$C$9),Transactions!$J$5:$J$1004,IF($C$10="All","&lt;&gt;",$C$10),Transactions!$K$5:$K$1004,IF($C$11="All","&lt;&gt;",$C$11))</f>
        <v/>
      </c>
      <c r="N16" s="31">
        <f>SUMIFS(Transactions!$N$5:$N$1004,Transactions!$F$5:$F$1004,$B16,Transactions!$B$5:$B$1004,N$13,Transactions!$G$5:$G$1004,IF($C$9="All","&lt;&gt;",$C$9),Transactions!$J$5:$J$1004,IF($C$10="All","&lt;&gt;",$C$10),Transactions!$K$5:$K$1004,IF($C$11="All","&lt;&gt;",$C$11))</f>
        <v/>
      </c>
      <c r="O16" s="41">
        <f>SUM(C16:N16)</f>
        <v/>
      </c>
      <c r="P16" s="31">
        <f>INDEX(C16:N16,MATCH(Settings!$C$4,$C$13:$N$13,0))</f>
        <v/>
      </c>
    </row>
    <row r="17">
      <c r="A17" s="27">
        <f>IFERROR(INDEX(Lists!$I$4:$I$40,MATCH(B17,Lists!$H$4:$H$40,0)),"")</f>
        <v/>
      </c>
      <c r="B17" s="25" t="inlineStr">
        <is>
          <t>Materials</t>
        </is>
      </c>
      <c r="C17" s="31">
        <f>SUMIFS(Transactions!$N$5:$N$1004,Transactions!$F$5:$F$1004,$B17,Transactions!$B$5:$B$1004,C$13,Transactions!$G$5:$G$1004,IF($C$9="All","&lt;&gt;",$C$9),Transactions!$J$5:$J$1004,IF($C$10="All","&lt;&gt;",$C$10),Transactions!$K$5:$K$1004,IF($C$11="All","&lt;&gt;",$C$11))</f>
        <v/>
      </c>
      <c r="D17" s="31">
        <f>SUMIFS(Transactions!$N$5:$N$1004,Transactions!$F$5:$F$1004,$B17,Transactions!$B$5:$B$1004,D$13,Transactions!$G$5:$G$1004,IF($C$9="All","&lt;&gt;",$C$9),Transactions!$J$5:$J$1004,IF($C$10="All","&lt;&gt;",$C$10),Transactions!$K$5:$K$1004,IF($C$11="All","&lt;&gt;",$C$11))</f>
        <v/>
      </c>
      <c r="E17" s="31">
        <f>SUMIFS(Transactions!$N$5:$N$1004,Transactions!$F$5:$F$1004,$B17,Transactions!$B$5:$B$1004,E$13,Transactions!$G$5:$G$1004,IF($C$9="All","&lt;&gt;",$C$9),Transactions!$J$5:$J$1004,IF($C$10="All","&lt;&gt;",$C$10),Transactions!$K$5:$K$1004,IF($C$11="All","&lt;&gt;",$C$11))</f>
        <v/>
      </c>
      <c r="F17" s="31">
        <f>SUMIFS(Transactions!$N$5:$N$1004,Transactions!$F$5:$F$1004,$B17,Transactions!$B$5:$B$1004,F$13,Transactions!$G$5:$G$1004,IF($C$9="All","&lt;&gt;",$C$9),Transactions!$J$5:$J$1004,IF($C$10="All","&lt;&gt;",$C$10),Transactions!$K$5:$K$1004,IF($C$11="All","&lt;&gt;",$C$11))</f>
        <v/>
      </c>
      <c r="G17" s="31">
        <f>SUMIFS(Transactions!$N$5:$N$1004,Transactions!$F$5:$F$1004,$B17,Transactions!$B$5:$B$1004,G$13,Transactions!$G$5:$G$1004,IF($C$9="All","&lt;&gt;",$C$9),Transactions!$J$5:$J$1004,IF($C$10="All","&lt;&gt;",$C$10),Transactions!$K$5:$K$1004,IF($C$11="All","&lt;&gt;",$C$11))</f>
        <v/>
      </c>
      <c r="H17" s="31">
        <f>SUMIFS(Transactions!$N$5:$N$1004,Transactions!$F$5:$F$1004,$B17,Transactions!$B$5:$B$1004,H$13,Transactions!$G$5:$G$1004,IF($C$9="All","&lt;&gt;",$C$9),Transactions!$J$5:$J$1004,IF($C$10="All","&lt;&gt;",$C$10),Transactions!$K$5:$K$1004,IF($C$11="All","&lt;&gt;",$C$11))</f>
        <v/>
      </c>
      <c r="I17" s="31">
        <f>SUMIFS(Transactions!$N$5:$N$1004,Transactions!$F$5:$F$1004,$B17,Transactions!$B$5:$B$1004,I$13,Transactions!$G$5:$G$1004,IF($C$9="All","&lt;&gt;",$C$9),Transactions!$J$5:$J$1004,IF($C$10="All","&lt;&gt;",$C$10),Transactions!$K$5:$K$1004,IF($C$11="All","&lt;&gt;",$C$11))</f>
        <v/>
      </c>
      <c r="J17" s="31">
        <f>SUMIFS(Transactions!$N$5:$N$1004,Transactions!$F$5:$F$1004,$B17,Transactions!$B$5:$B$1004,J$13,Transactions!$G$5:$G$1004,IF($C$9="All","&lt;&gt;",$C$9),Transactions!$J$5:$J$1004,IF($C$10="All","&lt;&gt;",$C$10),Transactions!$K$5:$K$1004,IF($C$11="All","&lt;&gt;",$C$11))</f>
        <v/>
      </c>
      <c r="K17" s="31">
        <f>SUMIFS(Transactions!$N$5:$N$1004,Transactions!$F$5:$F$1004,$B17,Transactions!$B$5:$B$1004,K$13,Transactions!$G$5:$G$1004,IF($C$9="All","&lt;&gt;",$C$9),Transactions!$J$5:$J$1004,IF($C$10="All","&lt;&gt;",$C$10),Transactions!$K$5:$K$1004,IF($C$11="All","&lt;&gt;",$C$11))</f>
        <v/>
      </c>
      <c r="L17" s="31">
        <f>SUMIFS(Transactions!$N$5:$N$1004,Transactions!$F$5:$F$1004,$B17,Transactions!$B$5:$B$1004,L$13,Transactions!$G$5:$G$1004,IF($C$9="All","&lt;&gt;",$C$9),Transactions!$J$5:$J$1004,IF($C$10="All","&lt;&gt;",$C$10),Transactions!$K$5:$K$1004,IF($C$11="All","&lt;&gt;",$C$11))</f>
        <v/>
      </c>
      <c r="M17" s="31">
        <f>SUMIFS(Transactions!$N$5:$N$1004,Transactions!$F$5:$F$1004,$B17,Transactions!$B$5:$B$1004,M$13,Transactions!$G$5:$G$1004,IF($C$9="All","&lt;&gt;",$C$9),Transactions!$J$5:$J$1004,IF($C$10="All","&lt;&gt;",$C$10),Transactions!$K$5:$K$1004,IF($C$11="All","&lt;&gt;",$C$11))</f>
        <v/>
      </c>
      <c r="N17" s="31">
        <f>SUMIFS(Transactions!$N$5:$N$1004,Transactions!$F$5:$F$1004,$B17,Transactions!$B$5:$B$1004,N$13,Transactions!$G$5:$G$1004,IF($C$9="All","&lt;&gt;",$C$9),Transactions!$J$5:$J$1004,IF($C$10="All","&lt;&gt;",$C$10),Transactions!$K$5:$K$1004,IF($C$11="All","&lt;&gt;",$C$11))</f>
        <v/>
      </c>
      <c r="O17" s="41">
        <f>SUM(C17:N17)</f>
        <v/>
      </c>
      <c r="P17" s="31">
        <f>INDEX(C17:N17,MATCH(Settings!$C$4,$C$13:$N$13,0))</f>
        <v/>
      </c>
    </row>
    <row r="18">
      <c r="A18" s="27">
        <f>IFERROR(INDEX(Lists!$I$4:$I$40,MATCH(B18,Lists!$H$4:$H$40,0)),"")</f>
        <v/>
      </c>
      <c r="B18" s="25" t="inlineStr">
        <is>
          <t>Stock count adjustment</t>
        </is>
      </c>
      <c r="C18" s="31">
        <f>SUMIFS(Transactions!$N$5:$N$1004,Transactions!$F$5:$F$1004,$B18,Transactions!$B$5:$B$1004,C$13,Transactions!$G$5:$G$1004,IF($C$9="All","&lt;&gt;",$C$9),Transactions!$J$5:$J$1004,IF($C$10="All","&lt;&gt;",$C$10),Transactions!$K$5:$K$1004,IF($C$11="All","&lt;&gt;",$C$11))</f>
        <v/>
      </c>
      <c r="D18" s="31">
        <f>SUMIFS(Transactions!$N$5:$N$1004,Transactions!$F$5:$F$1004,$B18,Transactions!$B$5:$B$1004,D$13,Transactions!$G$5:$G$1004,IF($C$9="All","&lt;&gt;",$C$9),Transactions!$J$5:$J$1004,IF($C$10="All","&lt;&gt;",$C$10),Transactions!$K$5:$K$1004,IF($C$11="All","&lt;&gt;",$C$11))</f>
        <v/>
      </c>
      <c r="E18" s="31">
        <f>SUMIFS(Transactions!$N$5:$N$1004,Transactions!$F$5:$F$1004,$B18,Transactions!$B$5:$B$1004,E$13,Transactions!$G$5:$G$1004,IF($C$9="All","&lt;&gt;",$C$9),Transactions!$J$5:$J$1004,IF($C$10="All","&lt;&gt;",$C$10),Transactions!$K$5:$K$1004,IF($C$11="All","&lt;&gt;",$C$11))</f>
        <v/>
      </c>
      <c r="F18" s="31">
        <f>SUMIFS(Transactions!$N$5:$N$1004,Transactions!$F$5:$F$1004,$B18,Transactions!$B$5:$B$1004,F$13,Transactions!$G$5:$G$1004,IF($C$9="All","&lt;&gt;",$C$9),Transactions!$J$5:$J$1004,IF($C$10="All","&lt;&gt;",$C$10),Transactions!$K$5:$K$1004,IF($C$11="All","&lt;&gt;",$C$11))</f>
        <v/>
      </c>
      <c r="G18" s="31">
        <f>SUMIFS(Transactions!$N$5:$N$1004,Transactions!$F$5:$F$1004,$B18,Transactions!$B$5:$B$1004,G$13,Transactions!$G$5:$G$1004,IF($C$9="All","&lt;&gt;",$C$9),Transactions!$J$5:$J$1004,IF($C$10="All","&lt;&gt;",$C$10),Transactions!$K$5:$K$1004,IF($C$11="All","&lt;&gt;",$C$11))</f>
        <v/>
      </c>
      <c r="H18" s="31">
        <f>SUMIFS(Transactions!$N$5:$N$1004,Transactions!$F$5:$F$1004,$B18,Transactions!$B$5:$B$1004,H$13,Transactions!$G$5:$G$1004,IF($C$9="All","&lt;&gt;",$C$9),Transactions!$J$5:$J$1004,IF($C$10="All","&lt;&gt;",$C$10),Transactions!$K$5:$K$1004,IF($C$11="All","&lt;&gt;",$C$11))</f>
        <v/>
      </c>
      <c r="I18" s="31">
        <f>SUMIFS(Transactions!$N$5:$N$1004,Transactions!$F$5:$F$1004,$B18,Transactions!$B$5:$B$1004,I$13,Transactions!$G$5:$G$1004,IF($C$9="All","&lt;&gt;",$C$9),Transactions!$J$5:$J$1004,IF($C$10="All","&lt;&gt;",$C$10),Transactions!$K$5:$K$1004,IF($C$11="All","&lt;&gt;",$C$11))</f>
        <v/>
      </c>
      <c r="J18" s="31">
        <f>SUMIFS(Transactions!$N$5:$N$1004,Transactions!$F$5:$F$1004,$B18,Transactions!$B$5:$B$1004,J$13,Transactions!$G$5:$G$1004,IF($C$9="All","&lt;&gt;",$C$9),Transactions!$J$5:$J$1004,IF($C$10="All","&lt;&gt;",$C$10),Transactions!$K$5:$K$1004,IF($C$11="All","&lt;&gt;",$C$11))</f>
        <v/>
      </c>
      <c r="K18" s="31">
        <f>SUMIFS(Transactions!$N$5:$N$1004,Transactions!$F$5:$F$1004,$B18,Transactions!$B$5:$B$1004,K$13,Transactions!$G$5:$G$1004,IF($C$9="All","&lt;&gt;",$C$9),Transactions!$J$5:$J$1004,IF($C$10="All","&lt;&gt;",$C$10),Transactions!$K$5:$K$1004,IF($C$11="All","&lt;&gt;",$C$11))</f>
        <v/>
      </c>
      <c r="L18" s="31">
        <f>SUMIFS(Transactions!$N$5:$N$1004,Transactions!$F$5:$F$1004,$B18,Transactions!$B$5:$B$1004,L$13,Transactions!$G$5:$G$1004,IF($C$9="All","&lt;&gt;",$C$9),Transactions!$J$5:$J$1004,IF($C$10="All","&lt;&gt;",$C$10),Transactions!$K$5:$K$1004,IF($C$11="All","&lt;&gt;",$C$11))</f>
        <v/>
      </c>
      <c r="M18" s="31">
        <f>SUMIFS(Transactions!$N$5:$N$1004,Transactions!$F$5:$F$1004,$B18,Transactions!$B$5:$B$1004,M$13,Transactions!$G$5:$G$1004,IF($C$9="All","&lt;&gt;",$C$9),Transactions!$J$5:$J$1004,IF($C$10="All","&lt;&gt;",$C$10),Transactions!$K$5:$K$1004,IF($C$11="All","&lt;&gt;",$C$11))</f>
        <v/>
      </c>
      <c r="N18" s="31">
        <f>SUMIFS(Transactions!$N$5:$N$1004,Transactions!$F$5:$F$1004,$B18,Transactions!$B$5:$B$1004,N$13,Transactions!$G$5:$G$1004,IF($C$9="All","&lt;&gt;",$C$9),Transactions!$J$5:$J$1004,IF($C$10="All","&lt;&gt;",$C$10),Transactions!$K$5:$K$1004,IF($C$11="All","&lt;&gt;",$C$11))</f>
        <v/>
      </c>
      <c r="O18" s="41">
        <f>SUM(C18:N18)</f>
        <v/>
      </c>
      <c r="P18" s="31">
        <f>INDEX(C18:N18,MATCH(Settings!$C$4,$C$13:$N$13,0))</f>
        <v/>
      </c>
    </row>
    <row r="19">
      <c r="A19" s="27">
        <f>IFERROR(INDEX(Lists!$I$4:$I$40,MATCH(B19,Lists!$H$4:$H$40,0)),"")</f>
        <v/>
      </c>
      <c r="B19" s="25" t="inlineStr">
        <is>
          <t>Packaging</t>
        </is>
      </c>
      <c r="C19" s="31">
        <f>SUMIFS(Transactions!$N$5:$N$1004,Transactions!$F$5:$F$1004,$B19,Transactions!$B$5:$B$1004,C$13,Transactions!$G$5:$G$1004,IF($C$9="All","&lt;&gt;",$C$9),Transactions!$J$5:$J$1004,IF($C$10="All","&lt;&gt;",$C$10),Transactions!$K$5:$K$1004,IF($C$11="All","&lt;&gt;",$C$11))</f>
        <v/>
      </c>
      <c r="D19" s="31">
        <f>SUMIFS(Transactions!$N$5:$N$1004,Transactions!$F$5:$F$1004,$B19,Transactions!$B$5:$B$1004,D$13,Transactions!$G$5:$G$1004,IF($C$9="All","&lt;&gt;",$C$9),Transactions!$J$5:$J$1004,IF($C$10="All","&lt;&gt;",$C$10),Transactions!$K$5:$K$1004,IF($C$11="All","&lt;&gt;",$C$11))</f>
        <v/>
      </c>
      <c r="E19" s="31">
        <f>SUMIFS(Transactions!$N$5:$N$1004,Transactions!$F$5:$F$1004,$B19,Transactions!$B$5:$B$1004,E$13,Transactions!$G$5:$G$1004,IF($C$9="All","&lt;&gt;",$C$9),Transactions!$J$5:$J$1004,IF($C$10="All","&lt;&gt;",$C$10),Transactions!$K$5:$K$1004,IF($C$11="All","&lt;&gt;",$C$11))</f>
        <v/>
      </c>
      <c r="F19" s="31">
        <f>SUMIFS(Transactions!$N$5:$N$1004,Transactions!$F$5:$F$1004,$B19,Transactions!$B$5:$B$1004,F$13,Transactions!$G$5:$G$1004,IF($C$9="All","&lt;&gt;",$C$9),Transactions!$J$5:$J$1004,IF($C$10="All","&lt;&gt;",$C$10),Transactions!$K$5:$K$1004,IF($C$11="All","&lt;&gt;",$C$11))</f>
        <v/>
      </c>
      <c r="G19" s="31">
        <f>SUMIFS(Transactions!$N$5:$N$1004,Transactions!$F$5:$F$1004,$B19,Transactions!$B$5:$B$1004,G$13,Transactions!$G$5:$G$1004,IF($C$9="All","&lt;&gt;",$C$9),Transactions!$J$5:$J$1004,IF($C$10="All","&lt;&gt;",$C$10),Transactions!$K$5:$K$1004,IF($C$11="All","&lt;&gt;",$C$11))</f>
        <v/>
      </c>
      <c r="H19" s="31">
        <f>SUMIFS(Transactions!$N$5:$N$1004,Transactions!$F$5:$F$1004,$B19,Transactions!$B$5:$B$1004,H$13,Transactions!$G$5:$G$1004,IF($C$9="All","&lt;&gt;",$C$9),Transactions!$J$5:$J$1004,IF($C$10="All","&lt;&gt;",$C$10),Transactions!$K$5:$K$1004,IF($C$11="All","&lt;&gt;",$C$11))</f>
        <v/>
      </c>
      <c r="I19" s="31">
        <f>SUMIFS(Transactions!$N$5:$N$1004,Transactions!$F$5:$F$1004,$B19,Transactions!$B$5:$B$1004,I$13,Transactions!$G$5:$G$1004,IF($C$9="All","&lt;&gt;",$C$9),Transactions!$J$5:$J$1004,IF($C$10="All","&lt;&gt;",$C$10),Transactions!$K$5:$K$1004,IF($C$11="All","&lt;&gt;",$C$11))</f>
        <v/>
      </c>
      <c r="J19" s="31">
        <f>SUMIFS(Transactions!$N$5:$N$1004,Transactions!$F$5:$F$1004,$B19,Transactions!$B$5:$B$1004,J$13,Transactions!$G$5:$G$1004,IF($C$9="All","&lt;&gt;",$C$9),Transactions!$J$5:$J$1004,IF($C$10="All","&lt;&gt;",$C$10),Transactions!$K$5:$K$1004,IF($C$11="All","&lt;&gt;",$C$11))</f>
        <v/>
      </c>
      <c r="K19" s="31">
        <f>SUMIFS(Transactions!$N$5:$N$1004,Transactions!$F$5:$F$1004,$B19,Transactions!$B$5:$B$1004,K$13,Transactions!$G$5:$G$1004,IF($C$9="All","&lt;&gt;",$C$9),Transactions!$J$5:$J$1004,IF($C$10="All","&lt;&gt;",$C$10),Transactions!$K$5:$K$1004,IF($C$11="All","&lt;&gt;",$C$11))</f>
        <v/>
      </c>
      <c r="L19" s="31">
        <f>SUMIFS(Transactions!$N$5:$N$1004,Transactions!$F$5:$F$1004,$B19,Transactions!$B$5:$B$1004,L$13,Transactions!$G$5:$G$1004,IF($C$9="All","&lt;&gt;",$C$9),Transactions!$J$5:$J$1004,IF($C$10="All","&lt;&gt;",$C$10),Transactions!$K$5:$K$1004,IF($C$11="All","&lt;&gt;",$C$11))</f>
        <v/>
      </c>
      <c r="M19" s="31">
        <f>SUMIFS(Transactions!$N$5:$N$1004,Transactions!$F$5:$F$1004,$B19,Transactions!$B$5:$B$1004,M$13,Transactions!$G$5:$G$1004,IF($C$9="All","&lt;&gt;",$C$9),Transactions!$J$5:$J$1004,IF($C$10="All","&lt;&gt;",$C$10),Transactions!$K$5:$K$1004,IF($C$11="All","&lt;&gt;",$C$11))</f>
        <v/>
      </c>
      <c r="N19" s="31">
        <f>SUMIFS(Transactions!$N$5:$N$1004,Transactions!$F$5:$F$1004,$B19,Transactions!$B$5:$B$1004,N$13,Transactions!$G$5:$G$1004,IF($C$9="All","&lt;&gt;",$C$9),Transactions!$J$5:$J$1004,IF($C$10="All","&lt;&gt;",$C$10),Transactions!$K$5:$K$1004,IF($C$11="All","&lt;&gt;",$C$11))</f>
        <v/>
      </c>
      <c r="O19" s="41">
        <f>SUM(C19:N19)</f>
        <v/>
      </c>
      <c r="P19" s="31">
        <f>INDEX(C19:N19,MATCH(Settings!$C$4,$C$13:$N$13,0))</f>
        <v/>
      </c>
    </row>
    <row r="20">
      <c r="A20" s="27">
        <f>IFERROR(INDEX(Lists!$I$4:$I$40,MATCH(B20,Lists!$H$4:$H$40,0)),"")</f>
        <v/>
      </c>
      <c r="B20" s="25" t="inlineStr">
        <is>
          <t>Direct labor</t>
        </is>
      </c>
      <c r="C20" s="31">
        <f>SUMIFS(Transactions!$N$5:$N$1004,Transactions!$F$5:$F$1004,$B20,Transactions!$B$5:$B$1004,C$13,Transactions!$G$5:$G$1004,IF($C$9="All","&lt;&gt;",$C$9),Transactions!$J$5:$J$1004,IF($C$10="All","&lt;&gt;",$C$10),Transactions!$K$5:$K$1004,IF($C$11="All","&lt;&gt;",$C$11))</f>
        <v/>
      </c>
      <c r="D20" s="31">
        <f>SUMIFS(Transactions!$N$5:$N$1004,Transactions!$F$5:$F$1004,$B20,Transactions!$B$5:$B$1004,D$13,Transactions!$G$5:$G$1004,IF($C$9="All","&lt;&gt;",$C$9),Transactions!$J$5:$J$1004,IF($C$10="All","&lt;&gt;",$C$10),Transactions!$K$5:$K$1004,IF($C$11="All","&lt;&gt;",$C$11))</f>
        <v/>
      </c>
      <c r="E20" s="31">
        <f>SUMIFS(Transactions!$N$5:$N$1004,Transactions!$F$5:$F$1004,$B20,Transactions!$B$5:$B$1004,E$13,Transactions!$G$5:$G$1004,IF($C$9="All","&lt;&gt;",$C$9),Transactions!$J$5:$J$1004,IF($C$10="All","&lt;&gt;",$C$10),Transactions!$K$5:$K$1004,IF($C$11="All","&lt;&gt;",$C$11))</f>
        <v/>
      </c>
      <c r="F20" s="31">
        <f>SUMIFS(Transactions!$N$5:$N$1004,Transactions!$F$5:$F$1004,$B20,Transactions!$B$5:$B$1004,F$13,Transactions!$G$5:$G$1004,IF($C$9="All","&lt;&gt;",$C$9),Transactions!$J$5:$J$1004,IF($C$10="All","&lt;&gt;",$C$10),Transactions!$K$5:$K$1004,IF($C$11="All","&lt;&gt;",$C$11))</f>
        <v/>
      </c>
      <c r="G20" s="31">
        <f>SUMIFS(Transactions!$N$5:$N$1004,Transactions!$F$5:$F$1004,$B20,Transactions!$B$5:$B$1004,G$13,Transactions!$G$5:$G$1004,IF($C$9="All","&lt;&gt;",$C$9),Transactions!$J$5:$J$1004,IF($C$10="All","&lt;&gt;",$C$10),Transactions!$K$5:$K$1004,IF($C$11="All","&lt;&gt;",$C$11))</f>
        <v/>
      </c>
      <c r="H20" s="31">
        <f>SUMIFS(Transactions!$N$5:$N$1004,Transactions!$F$5:$F$1004,$B20,Transactions!$B$5:$B$1004,H$13,Transactions!$G$5:$G$1004,IF($C$9="All","&lt;&gt;",$C$9),Transactions!$J$5:$J$1004,IF($C$10="All","&lt;&gt;",$C$10),Transactions!$K$5:$K$1004,IF($C$11="All","&lt;&gt;",$C$11))</f>
        <v/>
      </c>
      <c r="I20" s="31">
        <f>SUMIFS(Transactions!$N$5:$N$1004,Transactions!$F$5:$F$1004,$B20,Transactions!$B$5:$B$1004,I$13,Transactions!$G$5:$G$1004,IF($C$9="All","&lt;&gt;",$C$9),Transactions!$J$5:$J$1004,IF($C$10="All","&lt;&gt;",$C$10),Transactions!$K$5:$K$1004,IF($C$11="All","&lt;&gt;",$C$11))</f>
        <v/>
      </c>
      <c r="J20" s="31">
        <f>SUMIFS(Transactions!$N$5:$N$1004,Transactions!$F$5:$F$1004,$B20,Transactions!$B$5:$B$1004,J$13,Transactions!$G$5:$G$1004,IF($C$9="All","&lt;&gt;",$C$9),Transactions!$J$5:$J$1004,IF($C$10="All","&lt;&gt;",$C$10),Transactions!$K$5:$K$1004,IF($C$11="All","&lt;&gt;",$C$11))</f>
        <v/>
      </c>
      <c r="K20" s="31">
        <f>SUMIFS(Transactions!$N$5:$N$1004,Transactions!$F$5:$F$1004,$B20,Transactions!$B$5:$B$1004,K$13,Transactions!$G$5:$G$1004,IF($C$9="All","&lt;&gt;",$C$9),Transactions!$J$5:$J$1004,IF($C$10="All","&lt;&gt;",$C$10),Transactions!$K$5:$K$1004,IF($C$11="All","&lt;&gt;",$C$11))</f>
        <v/>
      </c>
      <c r="L20" s="31">
        <f>SUMIFS(Transactions!$N$5:$N$1004,Transactions!$F$5:$F$1004,$B20,Transactions!$B$5:$B$1004,L$13,Transactions!$G$5:$G$1004,IF($C$9="All","&lt;&gt;",$C$9),Transactions!$J$5:$J$1004,IF($C$10="All","&lt;&gt;",$C$10),Transactions!$K$5:$K$1004,IF($C$11="All","&lt;&gt;",$C$11))</f>
        <v/>
      </c>
      <c r="M20" s="31">
        <f>SUMIFS(Transactions!$N$5:$N$1004,Transactions!$F$5:$F$1004,$B20,Transactions!$B$5:$B$1004,M$13,Transactions!$G$5:$G$1004,IF($C$9="All","&lt;&gt;",$C$9),Transactions!$J$5:$J$1004,IF($C$10="All","&lt;&gt;",$C$10),Transactions!$K$5:$K$1004,IF($C$11="All","&lt;&gt;",$C$11))</f>
        <v/>
      </c>
      <c r="N20" s="31">
        <f>SUMIFS(Transactions!$N$5:$N$1004,Transactions!$F$5:$F$1004,$B20,Transactions!$B$5:$B$1004,N$13,Transactions!$G$5:$G$1004,IF($C$9="All","&lt;&gt;",$C$9),Transactions!$J$5:$J$1004,IF($C$10="All","&lt;&gt;",$C$10),Transactions!$K$5:$K$1004,IF($C$11="All","&lt;&gt;",$C$11))</f>
        <v/>
      </c>
      <c r="O20" s="41">
        <f>SUM(C20:N20)</f>
        <v/>
      </c>
      <c r="P20" s="31">
        <f>INDEX(C20:N20,MATCH(Settings!$C$4,$C$13:$N$13,0))</f>
        <v/>
      </c>
    </row>
    <row r="21">
      <c r="A21" s="27">
        <f>IFERROR(INDEX(Lists!$I$4:$I$40,MATCH(B21,Lists!$H$4:$H$40,0)),"")</f>
        <v/>
      </c>
      <c r="B21" s="25" t="inlineStr">
        <is>
          <t>Factory power and maintenance</t>
        </is>
      </c>
      <c r="C21" s="31">
        <f>SUMIFS(Transactions!$N$5:$N$1004,Transactions!$F$5:$F$1004,$B21,Transactions!$B$5:$B$1004,C$13,Transactions!$G$5:$G$1004,IF($C$9="All","&lt;&gt;",$C$9),Transactions!$J$5:$J$1004,IF($C$10="All","&lt;&gt;",$C$10),Transactions!$K$5:$K$1004,IF($C$11="All","&lt;&gt;",$C$11))</f>
        <v/>
      </c>
      <c r="D21" s="31">
        <f>SUMIFS(Transactions!$N$5:$N$1004,Transactions!$F$5:$F$1004,$B21,Transactions!$B$5:$B$1004,D$13,Transactions!$G$5:$G$1004,IF($C$9="All","&lt;&gt;",$C$9),Transactions!$J$5:$J$1004,IF($C$10="All","&lt;&gt;",$C$10),Transactions!$K$5:$K$1004,IF($C$11="All","&lt;&gt;",$C$11))</f>
        <v/>
      </c>
      <c r="E21" s="31">
        <f>SUMIFS(Transactions!$N$5:$N$1004,Transactions!$F$5:$F$1004,$B21,Transactions!$B$5:$B$1004,E$13,Transactions!$G$5:$G$1004,IF($C$9="All","&lt;&gt;",$C$9),Transactions!$J$5:$J$1004,IF($C$10="All","&lt;&gt;",$C$10),Transactions!$K$5:$K$1004,IF($C$11="All","&lt;&gt;",$C$11))</f>
        <v/>
      </c>
      <c r="F21" s="31">
        <f>SUMIFS(Transactions!$N$5:$N$1004,Transactions!$F$5:$F$1004,$B21,Transactions!$B$5:$B$1004,F$13,Transactions!$G$5:$G$1004,IF($C$9="All","&lt;&gt;",$C$9),Transactions!$J$5:$J$1004,IF($C$10="All","&lt;&gt;",$C$10),Transactions!$K$5:$K$1004,IF($C$11="All","&lt;&gt;",$C$11))</f>
        <v/>
      </c>
      <c r="G21" s="31">
        <f>SUMIFS(Transactions!$N$5:$N$1004,Transactions!$F$5:$F$1004,$B21,Transactions!$B$5:$B$1004,G$13,Transactions!$G$5:$G$1004,IF($C$9="All","&lt;&gt;",$C$9),Transactions!$J$5:$J$1004,IF($C$10="All","&lt;&gt;",$C$10),Transactions!$K$5:$K$1004,IF($C$11="All","&lt;&gt;",$C$11))</f>
        <v/>
      </c>
      <c r="H21" s="31">
        <f>SUMIFS(Transactions!$N$5:$N$1004,Transactions!$F$5:$F$1004,$B21,Transactions!$B$5:$B$1004,H$13,Transactions!$G$5:$G$1004,IF($C$9="All","&lt;&gt;",$C$9),Transactions!$J$5:$J$1004,IF($C$10="All","&lt;&gt;",$C$10),Transactions!$K$5:$K$1004,IF($C$11="All","&lt;&gt;",$C$11))</f>
        <v/>
      </c>
      <c r="I21" s="31">
        <f>SUMIFS(Transactions!$N$5:$N$1004,Transactions!$F$5:$F$1004,$B21,Transactions!$B$5:$B$1004,I$13,Transactions!$G$5:$G$1004,IF($C$9="All","&lt;&gt;",$C$9),Transactions!$J$5:$J$1004,IF($C$10="All","&lt;&gt;",$C$10),Transactions!$K$5:$K$1004,IF($C$11="All","&lt;&gt;",$C$11))</f>
        <v/>
      </c>
      <c r="J21" s="31">
        <f>SUMIFS(Transactions!$N$5:$N$1004,Transactions!$F$5:$F$1004,$B21,Transactions!$B$5:$B$1004,J$13,Transactions!$G$5:$G$1004,IF($C$9="All","&lt;&gt;",$C$9),Transactions!$J$5:$J$1004,IF($C$10="All","&lt;&gt;",$C$10),Transactions!$K$5:$K$1004,IF($C$11="All","&lt;&gt;",$C$11))</f>
        <v/>
      </c>
      <c r="K21" s="31">
        <f>SUMIFS(Transactions!$N$5:$N$1004,Transactions!$F$5:$F$1004,$B21,Transactions!$B$5:$B$1004,K$13,Transactions!$G$5:$G$1004,IF($C$9="All","&lt;&gt;",$C$9),Transactions!$J$5:$J$1004,IF($C$10="All","&lt;&gt;",$C$10),Transactions!$K$5:$K$1004,IF($C$11="All","&lt;&gt;",$C$11))</f>
        <v/>
      </c>
      <c r="L21" s="31">
        <f>SUMIFS(Transactions!$N$5:$N$1004,Transactions!$F$5:$F$1004,$B21,Transactions!$B$5:$B$1004,L$13,Transactions!$G$5:$G$1004,IF($C$9="All","&lt;&gt;",$C$9),Transactions!$J$5:$J$1004,IF($C$10="All","&lt;&gt;",$C$10),Transactions!$K$5:$K$1004,IF($C$11="All","&lt;&gt;",$C$11))</f>
        <v/>
      </c>
      <c r="M21" s="31">
        <f>SUMIFS(Transactions!$N$5:$N$1004,Transactions!$F$5:$F$1004,$B21,Transactions!$B$5:$B$1004,M$13,Transactions!$G$5:$G$1004,IF($C$9="All","&lt;&gt;",$C$9),Transactions!$J$5:$J$1004,IF($C$10="All","&lt;&gt;",$C$10),Transactions!$K$5:$K$1004,IF($C$11="All","&lt;&gt;",$C$11))</f>
        <v/>
      </c>
      <c r="N21" s="31">
        <f>SUMIFS(Transactions!$N$5:$N$1004,Transactions!$F$5:$F$1004,$B21,Transactions!$B$5:$B$1004,N$13,Transactions!$G$5:$G$1004,IF($C$9="All","&lt;&gt;",$C$9),Transactions!$J$5:$J$1004,IF($C$10="All","&lt;&gt;",$C$10),Transactions!$K$5:$K$1004,IF($C$11="All","&lt;&gt;",$C$11))</f>
        <v/>
      </c>
      <c r="O21" s="41">
        <f>SUM(C21:N21)</f>
        <v/>
      </c>
      <c r="P21" s="31">
        <f>INDEX(C21:N21,MATCH(Settings!$C$4,$C$13:$N$13,0))</f>
        <v/>
      </c>
    </row>
    <row r="22">
      <c r="A22" s="27">
        <f>IFERROR(INDEX(Lists!$I$4:$I$40,MATCH(B22,Lists!$H$4:$H$40,0)),"")</f>
        <v/>
      </c>
      <c r="B22" s="25" t="inlineStr">
        <is>
          <t>Factory depreciation</t>
        </is>
      </c>
      <c r="C22" s="31">
        <f>SUMIFS(Transactions!$N$5:$N$1004,Transactions!$F$5:$F$1004,$B22,Transactions!$B$5:$B$1004,C$13,Transactions!$G$5:$G$1004,IF($C$9="All","&lt;&gt;",$C$9),Transactions!$J$5:$J$1004,IF($C$10="All","&lt;&gt;",$C$10),Transactions!$K$5:$K$1004,IF($C$11="All","&lt;&gt;",$C$11))</f>
        <v/>
      </c>
      <c r="D22" s="31">
        <f>SUMIFS(Transactions!$N$5:$N$1004,Transactions!$F$5:$F$1004,$B22,Transactions!$B$5:$B$1004,D$13,Transactions!$G$5:$G$1004,IF($C$9="All","&lt;&gt;",$C$9),Transactions!$J$5:$J$1004,IF($C$10="All","&lt;&gt;",$C$10),Transactions!$K$5:$K$1004,IF($C$11="All","&lt;&gt;",$C$11))</f>
        <v/>
      </c>
      <c r="E22" s="31">
        <f>SUMIFS(Transactions!$N$5:$N$1004,Transactions!$F$5:$F$1004,$B22,Transactions!$B$5:$B$1004,E$13,Transactions!$G$5:$G$1004,IF($C$9="All","&lt;&gt;",$C$9),Transactions!$J$5:$J$1004,IF($C$10="All","&lt;&gt;",$C$10),Transactions!$K$5:$K$1004,IF($C$11="All","&lt;&gt;",$C$11))</f>
        <v/>
      </c>
      <c r="F22" s="31">
        <f>SUMIFS(Transactions!$N$5:$N$1004,Transactions!$F$5:$F$1004,$B22,Transactions!$B$5:$B$1004,F$13,Transactions!$G$5:$G$1004,IF($C$9="All","&lt;&gt;",$C$9),Transactions!$J$5:$J$1004,IF($C$10="All","&lt;&gt;",$C$10),Transactions!$K$5:$K$1004,IF($C$11="All","&lt;&gt;",$C$11))</f>
        <v/>
      </c>
      <c r="G22" s="31">
        <f>SUMIFS(Transactions!$N$5:$N$1004,Transactions!$F$5:$F$1004,$B22,Transactions!$B$5:$B$1004,G$13,Transactions!$G$5:$G$1004,IF($C$9="All","&lt;&gt;",$C$9),Transactions!$J$5:$J$1004,IF($C$10="All","&lt;&gt;",$C$10),Transactions!$K$5:$K$1004,IF($C$11="All","&lt;&gt;",$C$11))</f>
        <v/>
      </c>
      <c r="H22" s="31">
        <f>SUMIFS(Transactions!$N$5:$N$1004,Transactions!$F$5:$F$1004,$B22,Transactions!$B$5:$B$1004,H$13,Transactions!$G$5:$G$1004,IF($C$9="All","&lt;&gt;",$C$9),Transactions!$J$5:$J$1004,IF($C$10="All","&lt;&gt;",$C$10),Transactions!$K$5:$K$1004,IF($C$11="All","&lt;&gt;",$C$11))</f>
        <v/>
      </c>
      <c r="I22" s="31">
        <f>SUMIFS(Transactions!$N$5:$N$1004,Transactions!$F$5:$F$1004,$B22,Transactions!$B$5:$B$1004,I$13,Transactions!$G$5:$G$1004,IF($C$9="All","&lt;&gt;",$C$9),Transactions!$J$5:$J$1004,IF($C$10="All","&lt;&gt;",$C$10),Transactions!$K$5:$K$1004,IF($C$11="All","&lt;&gt;",$C$11))</f>
        <v/>
      </c>
      <c r="J22" s="31">
        <f>SUMIFS(Transactions!$N$5:$N$1004,Transactions!$F$5:$F$1004,$B22,Transactions!$B$5:$B$1004,J$13,Transactions!$G$5:$G$1004,IF($C$9="All","&lt;&gt;",$C$9),Transactions!$J$5:$J$1004,IF($C$10="All","&lt;&gt;",$C$10),Transactions!$K$5:$K$1004,IF($C$11="All","&lt;&gt;",$C$11))</f>
        <v/>
      </c>
      <c r="K22" s="31">
        <f>SUMIFS(Transactions!$N$5:$N$1004,Transactions!$F$5:$F$1004,$B22,Transactions!$B$5:$B$1004,K$13,Transactions!$G$5:$G$1004,IF($C$9="All","&lt;&gt;",$C$9),Transactions!$J$5:$J$1004,IF($C$10="All","&lt;&gt;",$C$10),Transactions!$K$5:$K$1004,IF($C$11="All","&lt;&gt;",$C$11))</f>
        <v/>
      </c>
      <c r="L22" s="31">
        <f>SUMIFS(Transactions!$N$5:$N$1004,Transactions!$F$5:$F$1004,$B22,Transactions!$B$5:$B$1004,L$13,Transactions!$G$5:$G$1004,IF($C$9="All","&lt;&gt;",$C$9),Transactions!$J$5:$J$1004,IF($C$10="All","&lt;&gt;",$C$10),Transactions!$K$5:$K$1004,IF($C$11="All","&lt;&gt;",$C$11))</f>
        <v/>
      </c>
      <c r="M22" s="31">
        <f>SUMIFS(Transactions!$N$5:$N$1004,Transactions!$F$5:$F$1004,$B22,Transactions!$B$5:$B$1004,M$13,Transactions!$G$5:$G$1004,IF($C$9="All","&lt;&gt;",$C$9),Transactions!$J$5:$J$1004,IF($C$10="All","&lt;&gt;",$C$10),Transactions!$K$5:$K$1004,IF($C$11="All","&lt;&gt;",$C$11))</f>
        <v/>
      </c>
      <c r="N22" s="31">
        <f>SUMIFS(Transactions!$N$5:$N$1004,Transactions!$F$5:$F$1004,$B22,Transactions!$B$5:$B$1004,N$13,Transactions!$G$5:$G$1004,IF($C$9="All","&lt;&gt;",$C$9),Transactions!$J$5:$J$1004,IF($C$10="All","&lt;&gt;",$C$10),Transactions!$K$5:$K$1004,IF($C$11="All","&lt;&gt;",$C$11))</f>
        <v/>
      </c>
      <c r="O22" s="41">
        <f>SUM(C22:N22)</f>
        <v/>
      </c>
      <c r="P22" s="31">
        <f>INDEX(C22:N22,MATCH(Settings!$C$4,$C$13:$N$13,0))</f>
        <v/>
      </c>
    </row>
    <row r="23">
      <c r="A23" s="27">
        <f>IFERROR(INDEX(Lists!$I$4:$I$40,MATCH(B23,Lists!$H$4:$H$40,0)),"")</f>
        <v/>
      </c>
      <c r="B23" s="25" t="inlineStr">
        <is>
          <t>Selling and distribution</t>
        </is>
      </c>
      <c r="C23" s="31">
        <f>SUMIFS(Transactions!$N$5:$N$1004,Transactions!$F$5:$F$1004,$B23,Transactions!$B$5:$B$1004,C$13,Transactions!$G$5:$G$1004,IF($C$9="All","&lt;&gt;",$C$9),Transactions!$J$5:$J$1004,IF($C$10="All","&lt;&gt;",$C$10),Transactions!$K$5:$K$1004,IF($C$11="All","&lt;&gt;",$C$11))</f>
        <v/>
      </c>
      <c r="D23" s="31">
        <f>SUMIFS(Transactions!$N$5:$N$1004,Transactions!$F$5:$F$1004,$B23,Transactions!$B$5:$B$1004,D$13,Transactions!$G$5:$G$1004,IF($C$9="All","&lt;&gt;",$C$9),Transactions!$J$5:$J$1004,IF($C$10="All","&lt;&gt;",$C$10),Transactions!$K$5:$K$1004,IF($C$11="All","&lt;&gt;",$C$11))</f>
        <v/>
      </c>
      <c r="E23" s="31">
        <f>SUMIFS(Transactions!$N$5:$N$1004,Transactions!$F$5:$F$1004,$B23,Transactions!$B$5:$B$1004,E$13,Transactions!$G$5:$G$1004,IF($C$9="All","&lt;&gt;",$C$9),Transactions!$J$5:$J$1004,IF($C$10="All","&lt;&gt;",$C$10),Transactions!$K$5:$K$1004,IF($C$11="All","&lt;&gt;",$C$11))</f>
        <v/>
      </c>
      <c r="F23" s="31">
        <f>SUMIFS(Transactions!$N$5:$N$1004,Transactions!$F$5:$F$1004,$B23,Transactions!$B$5:$B$1004,F$13,Transactions!$G$5:$G$1004,IF($C$9="All","&lt;&gt;",$C$9),Transactions!$J$5:$J$1004,IF($C$10="All","&lt;&gt;",$C$10),Transactions!$K$5:$K$1004,IF($C$11="All","&lt;&gt;",$C$11))</f>
        <v/>
      </c>
      <c r="G23" s="31">
        <f>SUMIFS(Transactions!$N$5:$N$1004,Transactions!$F$5:$F$1004,$B23,Transactions!$B$5:$B$1004,G$13,Transactions!$G$5:$G$1004,IF($C$9="All","&lt;&gt;",$C$9),Transactions!$J$5:$J$1004,IF($C$10="All","&lt;&gt;",$C$10),Transactions!$K$5:$K$1004,IF($C$11="All","&lt;&gt;",$C$11))</f>
        <v/>
      </c>
      <c r="H23" s="31">
        <f>SUMIFS(Transactions!$N$5:$N$1004,Transactions!$F$5:$F$1004,$B23,Transactions!$B$5:$B$1004,H$13,Transactions!$G$5:$G$1004,IF($C$9="All","&lt;&gt;",$C$9),Transactions!$J$5:$J$1004,IF($C$10="All","&lt;&gt;",$C$10),Transactions!$K$5:$K$1004,IF($C$11="All","&lt;&gt;",$C$11))</f>
        <v/>
      </c>
      <c r="I23" s="31">
        <f>SUMIFS(Transactions!$N$5:$N$1004,Transactions!$F$5:$F$1004,$B23,Transactions!$B$5:$B$1004,I$13,Transactions!$G$5:$G$1004,IF($C$9="All","&lt;&gt;",$C$9),Transactions!$J$5:$J$1004,IF($C$10="All","&lt;&gt;",$C$10),Transactions!$K$5:$K$1004,IF($C$11="All","&lt;&gt;",$C$11))</f>
        <v/>
      </c>
      <c r="J23" s="31">
        <f>SUMIFS(Transactions!$N$5:$N$1004,Transactions!$F$5:$F$1004,$B23,Transactions!$B$5:$B$1004,J$13,Transactions!$G$5:$G$1004,IF($C$9="All","&lt;&gt;",$C$9),Transactions!$J$5:$J$1004,IF($C$10="All","&lt;&gt;",$C$10),Transactions!$K$5:$K$1004,IF($C$11="All","&lt;&gt;",$C$11))</f>
        <v/>
      </c>
      <c r="K23" s="31">
        <f>SUMIFS(Transactions!$N$5:$N$1004,Transactions!$F$5:$F$1004,$B23,Transactions!$B$5:$B$1004,K$13,Transactions!$G$5:$G$1004,IF($C$9="All","&lt;&gt;",$C$9),Transactions!$J$5:$J$1004,IF($C$10="All","&lt;&gt;",$C$10),Transactions!$K$5:$K$1004,IF($C$11="All","&lt;&gt;",$C$11))</f>
        <v/>
      </c>
      <c r="L23" s="31">
        <f>SUMIFS(Transactions!$N$5:$N$1004,Transactions!$F$5:$F$1004,$B23,Transactions!$B$5:$B$1004,L$13,Transactions!$G$5:$G$1004,IF($C$9="All","&lt;&gt;",$C$9),Transactions!$J$5:$J$1004,IF($C$10="All","&lt;&gt;",$C$10),Transactions!$K$5:$K$1004,IF($C$11="All","&lt;&gt;",$C$11))</f>
        <v/>
      </c>
      <c r="M23" s="31">
        <f>SUMIFS(Transactions!$N$5:$N$1004,Transactions!$F$5:$F$1004,$B23,Transactions!$B$5:$B$1004,M$13,Transactions!$G$5:$G$1004,IF($C$9="All","&lt;&gt;",$C$9),Transactions!$J$5:$J$1004,IF($C$10="All","&lt;&gt;",$C$10),Transactions!$K$5:$K$1004,IF($C$11="All","&lt;&gt;",$C$11))</f>
        <v/>
      </c>
      <c r="N23" s="31">
        <f>SUMIFS(Transactions!$N$5:$N$1004,Transactions!$F$5:$F$1004,$B23,Transactions!$B$5:$B$1004,N$13,Transactions!$G$5:$G$1004,IF($C$9="All","&lt;&gt;",$C$9),Transactions!$J$5:$J$1004,IF($C$10="All","&lt;&gt;",$C$10),Transactions!$K$5:$K$1004,IF($C$11="All","&lt;&gt;",$C$11))</f>
        <v/>
      </c>
      <c r="O23" s="41">
        <f>SUM(C23:N23)</f>
        <v/>
      </c>
      <c r="P23" s="31">
        <f>INDEX(C23:N23,MATCH(Settings!$C$4,$C$13:$N$13,0))</f>
        <v/>
      </c>
    </row>
    <row r="24">
      <c r="A24" s="27">
        <f>IFERROR(INDEX(Lists!$I$4:$I$40,MATCH(B24,Lists!$H$4:$H$40,0)),"")</f>
        <v/>
      </c>
      <c r="B24" s="25" t="inlineStr">
        <is>
          <t>Administrative salaries</t>
        </is>
      </c>
      <c r="C24" s="31">
        <f>SUMIFS(Transactions!$N$5:$N$1004,Transactions!$F$5:$F$1004,$B24,Transactions!$B$5:$B$1004,C$13,Transactions!$G$5:$G$1004,IF($C$9="All","&lt;&gt;",$C$9),Transactions!$J$5:$J$1004,IF($C$10="All","&lt;&gt;",$C$10),Transactions!$K$5:$K$1004,IF($C$11="All","&lt;&gt;",$C$11))</f>
        <v/>
      </c>
      <c r="D24" s="31">
        <f>SUMIFS(Transactions!$N$5:$N$1004,Transactions!$F$5:$F$1004,$B24,Transactions!$B$5:$B$1004,D$13,Transactions!$G$5:$G$1004,IF($C$9="All","&lt;&gt;",$C$9),Transactions!$J$5:$J$1004,IF($C$10="All","&lt;&gt;",$C$10),Transactions!$K$5:$K$1004,IF($C$11="All","&lt;&gt;",$C$11))</f>
        <v/>
      </c>
      <c r="E24" s="31">
        <f>SUMIFS(Transactions!$N$5:$N$1004,Transactions!$F$5:$F$1004,$B24,Transactions!$B$5:$B$1004,E$13,Transactions!$G$5:$G$1004,IF($C$9="All","&lt;&gt;",$C$9),Transactions!$J$5:$J$1004,IF($C$10="All","&lt;&gt;",$C$10),Transactions!$K$5:$K$1004,IF($C$11="All","&lt;&gt;",$C$11))</f>
        <v/>
      </c>
      <c r="F24" s="31">
        <f>SUMIFS(Transactions!$N$5:$N$1004,Transactions!$F$5:$F$1004,$B24,Transactions!$B$5:$B$1004,F$13,Transactions!$G$5:$G$1004,IF($C$9="All","&lt;&gt;",$C$9),Transactions!$J$5:$J$1004,IF($C$10="All","&lt;&gt;",$C$10),Transactions!$K$5:$K$1004,IF($C$11="All","&lt;&gt;",$C$11))</f>
        <v/>
      </c>
      <c r="G24" s="31">
        <f>SUMIFS(Transactions!$N$5:$N$1004,Transactions!$F$5:$F$1004,$B24,Transactions!$B$5:$B$1004,G$13,Transactions!$G$5:$G$1004,IF($C$9="All","&lt;&gt;",$C$9),Transactions!$J$5:$J$1004,IF($C$10="All","&lt;&gt;",$C$10),Transactions!$K$5:$K$1004,IF($C$11="All","&lt;&gt;",$C$11))</f>
        <v/>
      </c>
      <c r="H24" s="31">
        <f>SUMIFS(Transactions!$N$5:$N$1004,Transactions!$F$5:$F$1004,$B24,Transactions!$B$5:$B$1004,H$13,Transactions!$G$5:$G$1004,IF($C$9="All","&lt;&gt;",$C$9),Transactions!$J$5:$J$1004,IF($C$10="All","&lt;&gt;",$C$10),Transactions!$K$5:$K$1004,IF($C$11="All","&lt;&gt;",$C$11))</f>
        <v/>
      </c>
      <c r="I24" s="31">
        <f>SUMIFS(Transactions!$N$5:$N$1004,Transactions!$F$5:$F$1004,$B24,Transactions!$B$5:$B$1004,I$13,Transactions!$G$5:$G$1004,IF($C$9="All","&lt;&gt;",$C$9),Transactions!$J$5:$J$1004,IF($C$10="All","&lt;&gt;",$C$10),Transactions!$K$5:$K$1004,IF($C$11="All","&lt;&gt;",$C$11))</f>
        <v/>
      </c>
      <c r="J24" s="31">
        <f>SUMIFS(Transactions!$N$5:$N$1004,Transactions!$F$5:$F$1004,$B24,Transactions!$B$5:$B$1004,J$13,Transactions!$G$5:$G$1004,IF($C$9="All","&lt;&gt;",$C$9),Transactions!$J$5:$J$1004,IF($C$10="All","&lt;&gt;",$C$10),Transactions!$K$5:$K$1004,IF($C$11="All","&lt;&gt;",$C$11))</f>
        <v/>
      </c>
      <c r="K24" s="31">
        <f>SUMIFS(Transactions!$N$5:$N$1004,Transactions!$F$5:$F$1004,$B24,Transactions!$B$5:$B$1004,K$13,Transactions!$G$5:$G$1004,IF($C$9="All","&lt;&gt;",$C$9),Transactions!$J$5:$J$1004,IF($C$10="All","&lt;&gt;",$C$10),Transactions!$K$5:$K$1004,IF($C$11="All","&lt;&gt;",$C$11))</f>
        <v/>
      </c>
      <c r="L24" s="31">
        <f>SUMIFS(Transactions!$N$5:$N$1004,Transactions!$F$5:$F$1004,$B24,Transactions!$B$5:$B$1004,L$13,Transactions!$G$5:$G$1004,IF($C$9="All","&lt;&gt;",$C$9),Transactions!$J$5:$J$1004,IF($C$10="All","&lt;&gt;",$C$10),Transactions!$K$5:$K$1004,IF($C$11="All","&lt;&gt;",$C$11))</f>
        <v/>
      </c>
      <c r="M24" s="31">
        <f>SUMIFS(Transactions!$N$5:$N$1004,Transactions!$F$5:$F$1004,$B24,Transactions!$B$5:$B$1004,M$13,Transactions!$G$5:$G$1004,IF($C$9="All","&lt;&gt;",$C$9),Transactions!$J$5:$J$1004,IF($C$10="All","&lt;&gt;",$C$10),Transactions!$K$5:$K$1004,IF($C$11="All","&lt;&gt;",$C$11))</f>
        <v/>
      </c>
      <c r="N24" s="31">
        <f>SUMIFS(Transactions!$N$5:$N$1004,Transactions!$F$5:$F$1004,$B24,Transactions!$B$5:$B$1004,N$13,Transactions!$G$5:$G$1004,IF($C$9="All","&lt;&gt;",$C$9),Transactions!$J$5:$J$1004,IF($C$10="All","&lt;&gt;",$C$10),Transactions!$K$5:$K$1004,IF($C$11="All","&lt;&gt;",$C$11))</f>
        <v/>
      </c>
      <c r="O24" s="41">
        <f>SUM(C24:N24)</f>
        <v/>
      </c>
      <c r="P24" s="31">
        <f>INDEX(C24:N24,MATCH(Settings!$C$4,$C$13:$N$13,0))</f>
        <v/>
      </c>
    </row>
    <row r="25">
      <c r="A25" s="27">
        <f>IFERROR(INDEX(Lists!$I$4:$I$40,MATCH(B25,Lists!$H$4:$H$40,0)),"")</f>
        <v/>
      </c>
      <c r="B25" s="25" t="inlineStr">
        <is>
          <t>Rent and utilities</t>
        </is>
      </c>
      <c r="C25" s="31">
        <f>SUMIFS(Transactions!$N$5:$N$1004,Transactions!$F$5:$F$1004,$B25,Transactions!$B$5:$B$1004,C$13,Transactions!$G$5:$G$1004,IF($C$9="All","&lt;&gt;",$C$9),Transactions!$J$5:$J$1004,IF($C$10="All","&lt;&gt;",$C$10),Transactions!$K$5:$K$1004,IF($C$11="All","&lt;&gt;",$C$11))</f>
        <v/>
      </c>
      <c r="D25" s="31">
        <f>SUMIFS(Transactions!$N$5:$N$1004,Transactions!$F$5:$F$1004,$B25,Transactions!$B$5:$B$1004,D$13,Transactions!$G$5:$G$1004,IF($C$9="All","&lt;&gt;",$C$9),Transactions!$J$5:$J$1004,IF($C$10="All","&lt;&gt;",$C$10),Transactions!$K$5:$K$1004,IF($C$11="All","&lt;&gt;",$C$11))</f>
        <v/>
      </c>
      <c r="E25" s="31">
        <f>SUMIFS(Transactions!$N$5:$N$1004,Transactions!$F$5:$F$1004,$B25,Transactions!$B$5:$B$1004,E$13,Transactions!$G$5:$G$1004,IF($C$9="All","&lt;&gt;",$C$9),Transactions!$J$5:$J$1004,IF($C$10="All","&lt;&gt;",$C$10),Transactions!$K$5:$K$1004,IF($C$11="All","&lt;&gt;",$C$11))</f>
        <v/>
      </c>
      <c r="F25" s="31">
        <f>SUMIFS(Transactions!$N$5:$N$1004,Transactions!$F$5:$F$1004,$B25,Transactions!$B$5:$B$1004,F$13,Transactions!$G$5:$G$1004,IF($C$9="All","&lt;&gt;",$C$9),Transactions!$J$5:$J$1004,IF($C$10="All","&lt;&gt;",$C$10),Transactions!$K$5:$K$1004,IF($C$11="All","&lt;&gt;",$C$11))</f>
        <v/>
      </c>
      <c r="G25" s="31">
        <f>SUMIFS(Transactions!$N$5:$N$1004,Transactions!$F$5:$F$1004,$B25,Transactions!$B$5:$B$1004,G$13,Transactions!$G$5:$G$1004,IF($C$9="All","&lt;&gt;",$C$9),Transactions!$J$5:$J$1004,IF($C$10="All","&lt;&gt;",$C$10),Transactions!$K$5:$K$1004,IF($C$11="All","&lt;&gt;",$C$11))</f>
        <v/>
      </c>
      <c r="H25" s="31">
        <f>SUMIFS(Transactions!$N$5:$N$1004,Transactions!$F$5:$F$1004,$B25,Transactions!$B$5:$B$1004,H$13,Transactions!$G$5:$G$1004,IF($C$9="All","&lt;&gt;",$C$9),Transactions!$J$5:$J$1004,IF($C$10="All","&lt;&gt;",$C$10),Transactions!$K$5:$K$1004,IF($C$11="All","&lt;&gt;",$C$11))</f>
        <v/>
      </c>
      <c r="I25" s="31">
        <f>SUMIFS(Transactions!$N$5:$N$1004,Transactions!$F$5:$F$1004,$B25,Transactions!$B$5:$B$1004,I$13,Transactions!$G$5:$G$1004,IF($C$9="All","&lt;&gt;",$C$9),Transactions!$J$5:$J$1004,IF($C$10="All","&lt;&gt;",$C$10),Transactions!$K$5:$K$1004,IF($C$11="All","&lt;&gt;",$C$11))</f>
        <v/>
      </c>
      <c r="J25" s="31">
        <f>SUMIFS(Transactions!$N$5:$N$1004,Transactions!$F$5:$F$1004,$B25,Transactions!$B$5:$B$1004,J$13,Transactions!$G$5:$G$1004,IF($C$9="All","&lt;&gt;",$C$9),Transactions!$J$5:$J$1004,IF($C$10="All","&lt;&gt;",$C$10),Transactions!$K$5:$K$1004,IF($C$11="All","&lt;&gt;",$C$11))</f>
        <v/>
      </c>
      <c r="K25" s="31">
        <f>SUMIFS(Transactions!$N$5:$N$1004,Transactions!$F$5:$F$1004,$B25,Transactions!$B$5:$B$1004,K$13,Transactions!$G$5:$G$1004,IF($C$9="All","&lt;&gt;",$C$9),Transactions!$J$5:$J$1004,IF($C$10="All","&lt;&gt;",$C$10),Transactions!$K$5:$K$1004,IF($C$11="All","&lt;&gt;",$C$11))</f>
        <v/>
      </c>
      <c r="L25" s="31">
        <f>SUMIFS(Transactions!$N$5:$N$1004,Transactions!$F$5:$F$1004,$B25,Transactions!$B$5:$B$1004,L$13,Transactions!$G$5:$G$1004,IF($C$9="All","&lt;&gt;",$C$9),Transactions!$J$5:$J$1004,IF($C$10="All","&lt;&gt;",$C$10),Transactions!$K$5:$K$1004,IF($C$11="All","&lt;&gt;",$C$11))</f>
        <v/>
      </c>
      <c r="M25" s="31">
        <f>SUMIFS(Transactions!$N$5:$N$1004,Transactions!$F$5:$F$1004,$B25,Transactions!$B$5:$B$1004,M$13,Transactions!$G$5:$G$1004,IF($C$9="All","&lt;&gt;",$C$9),Transactions!$J$5:$J$1004,IF($C$10="All","&lt;&gt;",$C$10),Transactions!$K$5:$K$1004,IF($C$11="All","&lt;&gt;",$C$11))</f>
        <v/>
      </c>
      <c r="N25" s="31">
        <f>SUMIFS(Transactions!$N$5:$N$1004,Transactions!$F$5:$F$1004,$B25,Transactions!$B$5:$B$1004,N$13,Transactions!$G$5:$G$1004,IF($C$9="All","&lt;&gt;",$C$9),Transactions!$J$5:$J$1004,IF($C$10="All","&lt;&gt;",$C$10),Transactions!$K$5:$K$1004,IF($C$11="All","&lt;&gt;",$C$11))</f>
        <v/>
      </c>
      <c r="O25" s="41">
        <f>SUM(C25:N25)</f>
        <v/>
      </c>
      <c r="P25" s="31">
        <f>INDEX(C25:N25,MATCH(Settings!$C$4,$C$13:$N$13,0))</f>
        <v/>
      </c>
    </row>
    <row r="26">
      <c r="A26" s="27">
        <f>IFERROR(INDEX(Lists!$I$4:$I$40,MATCH(B26,Lists!$H$4:$H$40,0)),"")</f>
        <v/>
      </c>
      <c r="B26" s="25" t="inlineStr">
        <is>
          <t>Other administration</t>
        </is>
      </c>
      <c r="C26" s="31">
        <f>SUMIFS(Transactions!$N$5:$N$1004,Transactions!$F$5:$F$1004,$B26,Transactions!$B$5:$B$1004,C$13,Transactions!$G$5:$G$1004,IF($C$9="All","&lt;&gt;",$C$9),Transactions!$J$5:$J$1004,IF($C$10="All","&lt;&gt;",$C$10),Transactions!$K$5:$K$1004,IF($C$11="All","&lt;&gt;",$C$11))</f>
        <v/>
      </c>
      <c r="D26" s="31">
        <f>SUMIFS(Transactions!$N$5:$N$1004,Transactions!$F$5:$F$1004,$B26,Transactions!$B$5:$B$1004,D$13,Transactions!$G$5:$G$1004,IF($C$9="All","&lt;&gt;",$C$9),Transactions!$J$5:$J$1004,IF($C$10="All","&lt;&gt;",$C$10),Transactions!$K$5:$K$1004,IF($C$11="All","&lt;&gt;",$C$11))</f>
        <v/>
      </c>
      <c r="E26" s="31">
        <f>SUMIFS(Transactions!$N$5:$N$1004,Transactions!$F$5:$F$1004,$B26,Transactions!$B$5:$B$1004,E$13,Transactions!$G$5:$G$1004,IF($C$9="All","&lt;&gt;",$C$9),Transactions!$J$5:$J$1004,IF($C$10="All","&lt;&gt;",$C$10),Transactions!$K$5:$K$1004,IF($C$11="All","&lt;&gt;",$C$11))</f>
        <v/>
      </c>
      <c r="F26" s="31">
        <f>SUMIFS(Transactions!$N$5:$N$1004,Transactions!$F$5:$F$1004,$B26,Transactions!$B$5:$B$1004,F$13,Transactions!$G$5:$G$1004,IF($C$9="All","&lt;&gt;",$C$9),Transactions!$J$5:$J$1004,IF($C$10="All","&lt;&gt;",$C$10),Transactions!$K$5:$K$1004,IF($C$11="All","&lt;&gt;",$C$11))</f>
        <v/>
      </c>
      <c r="G26" s="31">
        <f>SUMIFS(Transactions!$N$5:$N$1004,Transactions!$F$5:$F$1004,$B26,Transactions!$B$5:$B$1004,G$13,Transactions!$G$5:$G$1004,IF($C$9="All","&lt;&gt;",$C$9),Transactions!$J$5:$J$1004,IF($C$10="All","&lt;&gt;",$C$10),Transactions!$K$5:$K$1004,IF($C$11="All","&lt;&gt;",$C$11))</f>
        <v/>
      </c>
      <c r="H26" s="31">
        <f>SUMIFS(Transactions!$N$5:$N$1004,Transactions!$F$5:$F$1004,$B26,Transactions!$B$5:$B$1004,H$13,Transactions!$G$5:$G$1004,IF($C$9="All","&lt;&gt;",$C$9),Transactions!$J$5:$J$1004,IF($C$10="All","&lt;&gt;",$C$10),Transactions!$K$5:$K$1004,IF($C$11="All","&lt;&gt;",$C$11))</f>
        <v/>
      </c>
      <c r="I26" s="31">
        <f>SUMIFS(Transactions!$N$5:$N$1004,Transactions!$F$5:$F$1004,$B26,Transactions!$B$5:$B$1004,I$13,Transactions!$G$5:$G$1004,IF($C$9="All","&lt;&gt;",$C$9),Transactions!$J$5:$J$1004,IF($C$10="All","&lt;&gt;",$C$10),Transactions!$K$5:$K$1004,IF($C$11="All","&lt;&gt;",$C$11))</f>
        <v/>
      </c>
      <c r="J26" s="31">
        <f>SUMIFS(Transactions!$N$5:$N$1004,Transactions!$F$5:$F$1004,$B26,Transactions!$B$5:$B$1004,J$13,Transactions!$G$5:$G$1004,IF($C$9="All","&lt;&gt;",$C$9),Transactions!$J$5:$J$1004,IF($C$10="All","&lt;&gt;",$C$10),Transactions!$K$5:$K$1004,IF($C$11="All","&lt;&gt;",$C$11))</f>
        <v/>
      </c>
      <c r="K26" s="31">
        <f>SUMIFS(Transactions!$N$5:$N$1004,Transactions!$F$5:$F$1004,$B26,Transactions!$B$5:$B$1004,K$13,Transactions!$G$5:$G$1004,IF($C$9="All","&lt;&gt;",$C$9),Transactions!$J$5:$J$1004,IF($C$10="All","&lt;&gt;",$C$10),Transactions!$K$5:$K$1004,IF($C$11="All","&lt;&gt;",$C$11))</f>
        <v/>
      </c>
      <c r="L26" s="31">
        <f>SUMIFS(Transactions!$N$5:$N$1004,Transactions!$F$5:$F$1004,$B26,Transactions!$B$5:$B$1004,L$13,Transactions!$G$5:$G$1004,IF($C$9="All","&lt;&gt;",$C$9),Transactions!$J$5:$J$1004,IF($C$10="All","&lt;&gt;",$C$10),Transactions!$K$5:$K$1004,IF($C$11="All","&lt;&gt;",$C$11))</f>
        <v/>
      </c>
      <c r="M26" s="31">
        <f>SUMIFS(Transactions!$N$5:$N$1004,Transactions!$F$5:$F$1004,$B26,Transactions!$B$5:$B$1004,M$13,Transactions!$G$5:$G$1004,IF($C$9="All","&lt;&gt;",$C$9),Transactions!$J$5:$J$1004,IF($C$10="All","&lt;&gt;",$C$10),Transactions!$K$5:$K$1004,IF($C$11="All","&lt;&gt;",$C$11))</f>
        <v/>
      </c>
      <c r="N26" s="31">
        <f>SUMIFS(Transactions!$N$5:$N$1004,Transactions!$F$5:$F$1004,$B26,Transactions!$B$5:$B$1004,N$13,Transactions!$G$5:$G$1004,IF($C$9="All","&lt;&gt;",$C$9),Transactions!$J$5:$J$1004,IF($C$10="All","&lt;&gt;",$C$10),Transactions!$K$5:$K$1004,IF($C$11="All","&lt;&gt;",$C$11))</f>
        <v/>
      </c>
      <c r="O26" s="41">
        <f>SUM(C26:N26)</f>
        <v/>
      </c>
      <c r="P26" s="31">
        <f>INDEX(C26:N26,MATCH(Settings!$C$4,$C$13:$N$13,0))</f>
        <v/>
      </c>
    </row>
    <row r="27">
      <c r="A27" s="27">
        <f>IFERROR(INDEX(Lists!$I$4:$I$40,MATCH(B27,Lists!$H$4:$H$40,0)),"")</f>
        <v/>
      </c>
      <c r="B27" s="25" t="inlineStr">
        <is>
          <t>Depreciation, vehicles and office</t>
        </is>
      </c>
      <c r="C27" s="31">
        <f>SUMIFS(Transactions!$N$5:$N$1004,Transactions!$F$5:$F$1004,$B27,Transactions!$B$5:$B$1004,C$13,Transactions!$G$5:$G$1004,IF($C$9="All","&lt;&gt;",$C$9),Transactions!$J$5:$J$1004,IF($C$10="All","&lt;&gt;",$C$10),Transactions!$K$5:$K$1004,IF($C$11="All","&lt;&gt;",$C$11))</f>
        <v/>
      </c>
      <c r="D27" s="31">
        <f>SUMIFS(Transactions!$N$5:$N$1004,Transactions!$F$5:$F$1004,$B27,Transactions!$B$5:$B$1004,D$13,Transactions!$G$5:$G$1004,IF($C$9="All","&lt;&gt;",$C$9),Transactions!$J$5:$J$1004,IF($C$10="All","&lt;&gt;",$C$10),Transactions!$K$5:$K$1004,IF($C$11="All","&lt;&gt;",$C$11))</f>
        <v/>
      </c>
      <c r="E27" s="31">
        <f>SUMIFS(Transactions!$N$5:$N$1004,Transactions!$F$5:$F$1004,$B27,Transactions!$B$5:$B$1004,E$13,Transactions!$G$5:$G$1004,IF($C$9="All","&lt;&gt;",$C$9),Transactions!$J$5:$J$1004,IF($C$10="All","&lt;&gt;",$C$10),Transactions!$K$5:$K$1004,IF($C$11="All","&lt;&gt;",$C$11))</f>
        <v/>
      </c>
      <c r="F27" s="31">
        <f>SUMIFS(Transactions!$N$5:$N$1004,Transactions!$F$5:$F$1004,$B27,Transactions!$B$5:$B$1004,F$13,Transactions!$G$5:$G$1004,IF($C$9="All","&lt;&gt;",$C$9),Transactions!$J$5:$J$1004,IF($C$10="All","&lt;&gt;",$C$10),Transactions!$K$5:$K$1004,IF($C$11="All","&lt;&gt;",$C$11))</f>
        <v/>
      </c>
      <c r="G27" s="31">
        <f>SUMIFS(Transactions!$N$5:$N$1004,Transactions!$F$5:$F$1004,$B27,Transactions!$B$5:$B$1004,G$13,Transactions!$G$5:$G$1004,IF($C$9="All","&lt;&gt;",$C$9),Transactions!$J$5:$J$1004,IF($C$10="All","&lt;&gt;",$C$10),Transactions!$K$5:$K$1004,IF($C$11="All","&lt;&gt;",$C$11))</f>
        <v/>
      </c>
      <c r="H27" s="31">
        <f>SUMIFS(Transactions!$N$5:$N$1004,Transactions!$F$5:$F$1004,$B27,Transactions!$B$5:$B$1004,H$13,Transactions!$G$5:$G$1004,IF($C$9="All","&lt;&gt;",$C$9),Transactions!$J$5:$J$1004,IF($C$10="All","&lt;&gt;",$C$10),Transactions!$K$5:$K$1004,IF($C$11="All","&lt;&gt;",$C$11))</f>
        <v/>
      </c>
      <c r="I27" s="31">
        <f>SUMIFS(Transactions!$N$5:$N$1004,Transactions!$F$5:$F$1004,$B27,Transactions!$B$5:$B$1004,I$13,Transactions!$G$5:$G$1004,IF($C$9="All","&lt;&gt;",$C$9),Transactions!$J$5:$J$1004,IF($C$10="All","&lt;&gt;",$C$10),Transactions!$K$5:$K$1004,IF($C$11="All","&lt;&gt;",$C$11))</f>
        <v/>
      </c>
      <c r="J27" s="31">
        <f>SUMIFS(Transactions!$N$5:$N$1004,Transactions!$F$5:$F$1004,$B27,Transactions!$B$5:$B$1004,J$13,Transactions!$G$5:$G$1004,IF($C$9="All","&lt;&gt;",$C$9),Transactions!$J$5:$J$1004,IF($C$10="All","&lt;&gt;",$C$10),Transactions!$K$5:$K$1004,IF($C$11="All","&lt;&gt;",$C$11))</f>
        <v/>
      </c>
      <c r="K27" s="31">
        <f>SUMIFS(Transactions!$N$5:$N$1004,Transactions!$F$5:$F$1004,$B27,Transactions!$B$5:$B$1004,K$13,Transactions!$G$5:$G$1004,IF($C$9="All","&lt;&gt;",$C$9),Transactions!$J$5:$J$1004,IF($C$10="All","&lt;&gt;",$C$10),Transactions!$K$5:$K$1004,IF($C$11="All","&lt;&gt;",$C$11))</f>
        <v/>
      </c>
      <c r="L27" s="31">
        <f>SUMIFS(Transactions!$N$5:$N$1004,Transactions!$F$5:$F$1004,$B27,Transactions!$B$5:$B$1004,L$13,Transactions!$G$5:$G$1004,IF($C$9="All","&lt;&gt;",$C$9),Transactions!$J$5:$J$1004,IF($C$10="All","&lt;&gt;",$C$10),Transactions!$K$5:$K$1004,IF($C$11="All","&lt;&gt;",$C$11))</f>
        <v/>
      </c>
      <c r="M27" s="31">
        <f>SUMIFS(Transactions!$N$5:$N$1004,Transactions!$F$5:$F$1004,$B27,Transactions!$B$5:$B$1004,M$13,Transactions!$G$5:$G$1004,IF($C$9="All","&lt;&gt;",$C$9),Transactions!$J$5:$J$1004,IF($C$10="All","&lt;&gt;",$C$10),Transactions!$K$5:$K$1004,IF($C$11="All","&lt;&gt;",$C$11))</f>
        <v/>
      </c>
      <c r="N27" s="31">
        <f>SUMIFS(Transactions!$N$5:$N$1004,Transactions!$F$5:$F$1004,$B27,Transactions!$B$5:$B$1004,N$13,Transactions!$G$5:$G$1004,IF($C$9="All","&lt;&gt;",$C$9),Transactions!$J$5:$J$1004,IF($C$10="All","&lt;&gt;",$C$10),Transactions!$K$5:$K$1004,IF($C$11="All","&lt;&gt;",$C$11))</f>
        <v/>
      </c>
      <c r="O27" s="41">
        <f>SUM(C27:N27)</f>
        <v/>
      </c>
      <c r="P27" s="31">
        <f>INDEX(C27:N27,MATCH(Settings!$C$4,$C$13:$N$13,0))</f>
        <v/>
      </c>
    </row>
    <row r="28">
      <c r="A28" s="27">
        <f>IFERROR(INDEX(Lists!$I$4:$I$40,MATCH(B28,Lists!$H$4:$H$40,0)),"")</f>
        <v/>
      </c>
      <c r="B28" s="25" t="inlineStr">
        <is>
          <t>Credit loss allowance</t>
        </is>
      </c>
      <c r="C28" s="31">
        <f>SUMIFS(Transactions!$N$5:$N$1004,Transactions!$F$5:$F$1004,$B28,Transactions!$B$5:$B$1004,C$13,Transactions!$G$5:$G$1004,IF($C$9="All","&lt;&gt;",$C$9),Transactions!$J$5:$J$1004,IF($C$10="All","&lt;&gt;",$C$10),Transactions!$K$5:$K$1004,IF($C$11="All","&lt;&gt;",$C$11))</f>
        <v/>
      </c>
      <c r="D28" s="31">
        <f>SUMIFS(Transactions!$N$5:$N$1004,Transactions!$F$5:$F$1004,$B28,Transactions!$B$5:$B$1004,D$13,Transactions!$G$5:$G$1004,IF($C$9="All","&lt;&gt;",$C$9),Transactions!$J$5:$J$1004,IF($C$10="All","&lt;&gt;",$C$10),Transactions!$K$5:$K$1004,IF($C$11="All","&lt;&gt;",$C$11))</f>
        <v/>
      </c>
      <c r="E28" s="31">
        <f>SUMIFS(Transactions!$N$5:$N$1004,Transactions!$F$5:$F$1004,$B28,Transactions!$B$5:$B$1004,E$13,Transactions!$G$5:$G$1004,IF($C$9="All","&lt;&gt;",$C$9),Transactions!$J$5:$J$1004,IF($C$10="All","&lt;&gt;",$C$10),Transactions!$K$5:$K$1004,IF($C$11="All","&lt;&gt;",$C$11))</f>
        <v/>
      </c>
      <c r="F28" s="31">
        <f>SUMIFS(Transactions!$N$5:$N$1004,Transactions!$F$5:$F$1004,$B28,Transactions!$B$5:$B$1004,F$13,Transactions!$G$5:$G$1004,IF($C$9="All","&lt;&gt;",$C$9),Transactions!$J$5:$J$1004,IF($C$10="All","&lt;&gt;",$C$10),Transactions!$K$5:$K$1004,IF($C$11="All","&lt;&gt;",$C$11))</f>
        <v/>
      </c>
      <c r="G28" s="31">
        <f>SUMIFS(Transactions!$N$5:$N$1004,Transactions!$F$5:$F$1004,$B28,Transactions!$B$5:$B$1004,G$13,Transactions!$G$5:$G$1004,IF($C$9="All","&lt;&gt;",$C$9),Transactions!$J$5:$J$1004,IF($C$10="All","&lt;&gt;",$C$10),Transactions!$K$5:$K$1004,IF($C$11="All","&lt;&gt;",$C$11))</f>
        <v/>
      </c>
      <c r="H28" s="31">
        <f>SUMIFS(Transactions!$N$5:$N$1004,Transactions!$F$5:$F$1004,$B28,Transactions!$B$5:$B$1004,H$13,Transactions!$G$5:$G$1004,IF($C$9="All","&lt;&gt;",$C$9),Transactions!$J$5:$J$1004,IF($C$10="All","&lt;&gt;",$C$10),Transactions!$K$5:$K$1004,IF($C$11="All","&lt;&gt;",$C$11))</f>
        <v/>
      </c>
      <c r="I28" s="31">
        <f>SUMIFS(Transactions!$N$5:$N$1004,Transactions!$F$5:$F$1004,$B28,Transactions!$B$5:$B$1004,I$13,Transactions!$G$5:$G$1004,IF($C$9="All","&lt;&gt;",$C$9),Transactions!$J$5:$J$1004,IF($C$10="All","&lt;&gt;",$C$10),Transactions!$K$5:$K$1004,IF($C$11="All","&lt;&gt;",$C$11))</f>
        <v/>
      </c>
      <c r="J28" s="31">
        <f>SUMIFS(Transactions!$N$5:$N$1004,Transactions!$F$5:$F$1004,$B28,Transactions!$B$5:$B$1004,J$13,Transactions!$G$5:$G$1004,IF($C$9="All","&lt;&gt;",$C$9),Transactions!$J$5:$J$1004,IF($C$10="All","&lt;&gt;",$C$10),Transactions!$K$5:$K$1004,IF($C$11="All","&lt;&gt;",$C$11))</f>
        <v/>
      </c>
      <c r="K28" s="31">
        <f>SUMIFS(Transactions!$N$5:$N$1004,Transactions!$F$5:$F$1004,$B28,Transactions!$B$5:$B$1004,K$13,Transactions!$G$5:$G$1004,IF($C$9="All","&lt;&gt;",$C$9),Transactions!$J$5:$J$1004,IF($C$10="All","&lt;&gt;",$C$10),Transactions!$K$5:$K$1004,IF($C$11="All","&lt;&gt;",$C$11))</f>
        <v/>
      </c>
      <c r="L28" s="31">
        <f>SUMIFS(Transactions!$N$5:$N$1004,Transactions!$F$5:$F$1004,$B28,Transactions!$B$5:$B$1004,L$13,Transactions!$G$5:$G$1004,IF($C$9="All","&lt;&gt;",$C$9),Transactions!$J$5:$J$1004,IF($C$10="All","&lt;&gt;",$C$10),Transactions!$K$5:$K$1004,IF($C$11="All","&lt;&gt;",$C$11))</f>
        <v/>
      </c>
      <c r="M28" s="31">
        <f>SUMIFS(Transactions!$N$5:$N$1004,Transactions!$F$5:$F$1004,$B28,Transactions!$B$5:$B$1004,M$13,Transactions!$G$5:$G$1004,IF($C$9="All","&lt;&gt;",$C$9),Transactions!$J$5:$J$1004,IF($C$10="All","&lt;&gt;",$C$10),Transactions!$K$5:$K$1004,IF($C$11="All","&lt;&gt;",$C$11))</f>
        <v/>
      </c>
      <c r="N28" s="31">
        <f>SUMIFS(Transactions!$N$5:$N$1004,Transactions!$F$5:$F$1004,$B28,Transactions!$B$5:$B$1004,N$13,Transactions!$G$5:$G$1004,IF($C$9="All","&lt;&gt;",$C$9),Transactions!$J$5:$J$1004,IF($C$10="All","&lt;&gt;",$C$10),Transactions!$K$5:$K$1004,IF($C$11="All","&lt;&gt;",$C$11))</f>
        <v/>
      </c>
      <c r="O28" s="41">
        <f>SUM(C28:N28)</f>
        <v/>
      </c>
      <c r="P28" s="31">
        <f>INDEX(C28:N28,MATCH(Settings!$C$4,$C$13:$N$13,0))</f>
        <v/>
      </c>
    </row>
    <row r="29">
      <c r="A29" s="27">
        <f>IFERROR(INDEX(Lists!$I$4:$I$40,MATCH(B29,Lists!$H$4:$H$40,0)),"")</f>
        <v/>
      </c>
      <c r="B29" s="25" t="inlineStr">
        <is>
          <t>Finance costs</t>
        </is>
      </c>
      <c r="C29" s="31">
        <f>SUMIFS(Transactions!$N$5:$N$1004,Transactions!$F$5:$F$1004,$B29,Transactions!$B$5:$B$1004,C$13,Transactions!$G$5:$G$1004,IF($C$9="All","&lt;&gt;",$C$9),Transactions!$J$5:$J$1004,IF($C$10="All","&lt;&gt;",$C$10),Transactions!$K$5:$K$1004,IF($C$11="All","&lt;&gt;",$C$11))</f>
        <v/>
      </c>
      <c r="D29" s="31">
        <f>SUMIFS(Transactions!$N$5:$N$1004,Transactions!$F$5:$F$1004,$B29,Transactions!$B$5:$B$1004,D$13,Transactions!$G$5:$G$1004,IF($C$9="All","&lt;&gt;",$C$9),Transactions!$J$5:$J$1004,IF($C$10="All","&lt;&gt;",$C$10),Transactions!$K$5:$K$1004,IF($C$11="All","&lt;&gt;",$C$11))</f>
        <v/>
      </c>
      <c r="E29" s="31">
        <f>SUMIFS(Transactions!$N$5:$N$1004,Transactions!$F$5:$F$1004,$B29,Transactions!$B$5:$B$1004,E$13,Transactions!$G$5:$G$1004,IF($C$9="All","&lt;&gt;",$C$9),Transactions!$J$5:$J$1004,IF($C$10="All","&lt;&gt;",$C$10),Transactions!$K$5:$K$1004,IF($C$11="All","&lt;&gt;",$C$11))</f>
        <v/>
      </c>
      <c r="F29" s="31">
        <f>SUMIFS(Transactions!$N$5:$N$1004,Transactions!$F$5:$F$1004,$B29,Transactions!$B$5:$B$1004,F$13,Transactions!$G$5:$G$1004,IF($C$9="All","&lt;&gt;",$C$9),Transactions!$J$5:$J$1004,IF($C$10="All","&lt;&gt;",$C$10),Transactions!$K$5:$K$1004,IF($C$11="All","&lt;&gt;",$C$11))</f>
        <v/>
      </c>
      <c r="G29" s="31">
        <f>SUMIFS(Transactions!$N$5:$N$1004,Transactions!$F$5:$F$1004,$B29,Transactions!$B$5:$B$1004,G$13,Transactions!$G$5:$G$1004,IF($C$9="All","&lt;&gt;",$C$9),Transactions!$J$5:$J$1004,IF($C$10="All","&lt;&gt;",$C$10),Transactions!$K$5:$K$1004,IF($C$11="All","&lt;&gt;",$C$11))</f>
        <v/>
      </c>
      <c r="H29" s="31">
        <f>SUMIFS(Transactions!$N$5:$N$1004,Transactions!$F$5:$F$1004,$B29,Transactions!$B$5:$B$1004,H$13,Transactions!$G$5:$G$1004,IF($C$9="All","&lt;&gt;",$C$9),Transactions!$J$5:$J$1004,IF($C$10="All","&lt;&gt;",$C$10),Transactions!$K$5:$K$1004,IF($C$11="All","&lt;&gt;",$C$11))</f>
        <v/>
      </c>
      <c r="I29" s="31">
        <f>SUMIFS(Transactions!$N$5:$N$1004,Transactions!$F$5:$F$1004,$B29,Transactions!$B$5:$B$1004,I$13,Transactions!$G$5:$G$1004,IF($C$9="All","&lt;&gt;",$C$9),Transactions!$J$5:$J$1004,IF($C$10="All","&lt;&gt;",$C$10),Transactions!$K$5:$K$1004,IF($C$11="All","&lt;&gt;",$C$11))</f>
        <v/>
      </c>
      <c r="J29" s="31">
        <f>SUMIFS(Transactions!$N$5:$N$1004,Transactions!$F$5:$F$1004,$B29,Transactions!$B$5:$B$1004,J$13,Transactions!$G$5:$G$1004,IF($C$9="All","&lt;&gt;",$C$9),Transactions!$J$5:$J$1004,IF($C$10="All","&lt;&gt;",$C$10),Transactions!$K$5:$K$1004,IF($C$11="All","&lt;&gt;",$C$11))</f>
        <v/>
      </c>
      <c r="K29" s="31">
        <f>SUMIFS(Transactions!$N$5:$N$1004,Transactions!$F$5:$F$1004,$B29,Transactions!$B$5:$B$1004,K$13,Transactions!$G$5:$G$1004,IF($C$9="All","&lt;&gt;",$C$9),Transactions!$J$5:$J$1004,IF($C$10="All","&lt;&gt;",$C$10),Transactions!$K$5:$K$1004,IF($C$11="All","&lt;&gt;",$C$11))</f>
        <v/>
      </c>
      <c r="L29" s="31">
        <f>SUMIFS(Transactions!$N$5:$N$1004,Transactions!$F$5:$F$1004,$B29,Transactions!$B$5:$B$1004,L$13,Transactions!$G$5:$G$1004,IF($C$9="All","&lt;&gt;",$C$9),Transactions!$J$5:$J$1004,IF($C$10="All","&lt;&gt;",$C$10),Transactions!$K$5:$K$1004,IF($C$11="All","&lt;&gt;",$C$11))</f>
        <v/>
      </c>
      <c r="M29" s="31">
        <f>SUMIFS(Transactions!$N$5:$N$1004,Transactions!$F$5:$F$1004,$B29,Transactions!$B$5:$B$1004,M$13,Transactions!$G$5:$G$1004,IF($C$9="All","&lt;&gt;",$C$9),Transactions!$J$5:$J$1004,IF($C$10="All","&lt;&gt;",$C$10),Transactions!$K$5:$K$1004,IF($C$11="All","&lt;&gt;",$C$11))</f>
        <v/>
      </c>
      <c r="N29" s="31">
        <f>SUMIFS(Transactions!$N$5:$N$1004,Transactions!$F$5:$F$1004,$B29,Transactions!$B$5:$B$1004,N$13,Transactions!$G$5:$G$1004,IF($C$9="All","&lt;&gt;",$C$9),Transactions!$J$5:$J$1004,IF($C$10="All","&lt;&gt;",$C$10),Transactions!$K$5:$K$1004,IF($C$11="All","&lt;&gt;",$C$11))</f>
        <v/>
      </c>
      <c r="O29" s="41">
        <f>SUM(C29:N29)</f>
        <v/>
      </c>
      <c r="P29" s="31">
        <f>INDEX(C29:N29,MATCH(Settings!$C$4,$C$13:$N$13,0))</f>
        <v/>
      </c>
    </row>
    <row r="30">
      <c r="A30" s="27">
        <f>IFERROR(INDEX(Lists!$I$4:$I$40,MATCH(B30,Lists!$H$4:$H$40,0)),"")</f>
        <v/>
      </c>
      <c r="B30" s="25" t="inlineStr">
        <is>
          <t>Income tax</t>
        </is>
      </c>
      <c r="C30" s="31">
        <f>SUMIFS(Transactions!$N$5:$N$1004,Transactions!$F$5:$F$1004,$B30,Transactions!$B$5:$B$1004,C$13,Transactions!$G$5:$G$1004,IF($C$9="All","&lt;&gt;",$C$9),Transactions!$J$5:$J$1004,IF($C$10="All","&lt;&gt;",$C$10),Transactions!$K$5:$K$1004,IF($C$11="All","&lt;&gt;",$C$11))</f>
        <v/>
      </c>
      <c r="D30" s="31">
        <f>SUMIFS(Transactions!$N$5:$N$1004,Transactions!$F$5:$F$1004,$B30,Transactions!$B$5:$B$1004,D$13,Transactions!$G$5:$G$1004,IF($C$9="All","&lt;&gt;",$C$9),Transactions!$J$5:$J$1004,IF($C$10="All","&lt;&gt;",$C$10),Transactions!$K$5:$K$1004,IF($C$11="All","&lt;&gt;",$C$11))</f>
        <v/>
      </c>
      <c r="E30" s="31">
        <f>SUMIFS(Transactions!$N$5:$N$1004,Transactions!$F$5:$F$1004,$B30,Transactions!$B$5:$B$1004,E$13,Transactions!$G$5:$G$1004,IF($C$9="All","&lt;&gt;",$C$9),Transactions!$J$5:$J$1004,IF($C$10="All","&lt;&gt;",$C$10),Transactions!$K$5:$K$1004,IF($C$11="All","&lt;&gt;",$C$11))</f>
        <v/>
      </c>
      <c r="F30" s="31">
        <f>SUMIFS(Transactions!$N$5:$N$1004,Transactions!$F$5:$F$1004,$B30,Transactions!$B$5:$B$1004,F$13,Transactions!$G$5:$G$1004,IF($C$9="All","&lt;&gt;",$C$9),Transactions!$J$5:$J$1004,IF($C$10="All","&lt;&gt;",$C$10),Transactions!$K$5:$K$1004,IF($C$11="All","&lt;&gt;",$C$11))</f>
        <v/>
      </c>
      <c r="G30" s="31">
        <f>SUMIFS(Transactions!$N$5:$N$1004,Transactions!$F$5:$F$1004,$B30,Transactions!$B$5:$B$1004,G$13,Transactions!$G$5:$G$1004,IF($C$9="All","&lt;&gt;",$C$9),Transactions!$J$5:$J$1004,IF($C$10="All","&lt;&gt;",$C$10),Transactions!$K$5:$K$1004,IF($C$11="All","&lt;&gt;",$C$11))</f>
        <v/>
      </c>
      <c r="H30" s="31">
        <f>SUMIFS(Transactions!$N$5:$N$1004,Transactions!$F$5:$F$1004,$B30,Transactions!$B$5:$B$1004,H$13,Transactions!$G$5:$G$1004,IF($C$9="All","&lt;&gt;",$C$9),Transactions!$J$5:$J$1004,IF($C$10="All","&lt;&gt;",$C$10),Transactions!$K$5:$K$1004,IF($C$11="All","&lt;&gt;",$C$11))</f>
        <v/>
      </c>
      <c r="I30" s="31">
        <f>SUMIFS(Transactions!$N$5:$N$1004,Transactions!$F$5:$F$1004,$B30,Transactions!$B$5:$B$1004,I$13,Transactions!$G$5:$G$1004,IF($C$9="All","&lt;&gt;",$C$9),Transactions!$J$5:$J$1004,IF($C$10="All","&lt;&gt;",$C$10),Transactions!$K$5:$K$1004,IF($C$11="All","&lt;&gt;",$C$11))</f>
        <v/>
      </c>
      <c r="J30" s="31">
        <f>SUMIFS(Transactions!$N$5:$N$1004,Transactions!$F$5:$F$1004,$B30,Transactions!$B$5:$B$1004,J$13,Transactions!$G$5:$G$1004,IF($C$9="All","&lt;&gt;",$C$9),Transactions!$J$5:$J$1004,IF($C$10="All","&lt;&gt;",$C$10),Transactions!$K$5:$K$1004,IF($C$11="All","&lt;&gt;",$C$11))</f>
        <v/>
      </c>
      <c r="K30" s="31">
        <f>SUMIFS(Transactions!$N$5:$N$1004,Transactions!$F$5:$F$1004,$B30,Transactions!$B$5:$B$1004,K$13,Transactions!$G$5:$G$1004,IF($C$9="All","&lt;&gt;",$C$9),Transactions!$J$5:$J$1004,IF($C$10="All","&lt;&gt;",$C$10),Transactions!$K$5:$K$1004,IF($C$11="All","&lt;&gt;",$C$11))</f>
        <v/>
      </c>
      <c r="L30" s="31">
        <f>SUMIFS(Transactions!$N$5:$N$1004,Transactions!$F$5:$F$1004,$B30,Transactions!$B$5:$B$1004,L$13,Transactions!$G$5:$G$1004,IF($C$9="All","&lt;&gt;",$C$9),Transactions!$J$5:$J$1004,IF($C$10="All","&lt;&gt;",$C$10),Transactions!$K$5:$K$1004,IF($C$11="All","&lt;&gt;",$C$11))</f>
        <v/>
      </c>
      <c r="M30" s="31">
        <f>SUMIFS(Transactions!$N$5:$N$1004,Transactions!$F$5:$F$1004,$B30,Transactions!$B$5:$B$1004,M$13,Transactions!$G$5:$G$1004,IF($C$9="All","&lt;&gt;",$C$9),Transactions!$J$5:$J$1004,IF($C$10="All","&lt;&gt;",$C$10),Transactions!$K$5:$K$1004,IF($C$11="All","&lt;&gt;",$C$11))</f>
        <v/>
      </c>
      <c r="N30" s="31">
        <f>SUMIFS(Transactions!$N$5:$N$1004,Transactions!$F$5:$F$1004,$B30,Transactions!$B$5:$B$1004,N$13,Transactions!$G$5:$G$1004,IF($C$9="All","&lt;&gt;",$C$9),Transactions!$J$5:$J$1004,IF($C$10="All","&lt;&gt;",$C$10),Transactions!$K$5:$K$1004,IF($C$11="All","&lt;&gt;",$C$11))</f>
        <v/>
      </c>
      <c r="O30" s="41">
        <f>SUM(C30:N30)</f>
        <v/>
      </c>
      <c r="P30" s="31">
        <f>INDEX(C30:N30,MATCH(Settings!$C$4,$C$13:$N$13,0))</f>
        <v/>
      </c>
    </row>
    <row r="31">
      <c r="B31" s="9" t="inlineStr">
        <is>
          <t>Grand total</t>
        </is>
      </c>
      <c r="C31" s="41">
        <f>SUM(C14:C30)</f>
        <v/>
      </c>
      <c r="D31" s="41">
        <f>SUM(D14:D30)</f>
        <v/>
      </c>
      <c r="E31" s="41">
        <f>SUM(E14:E30)</f>
        <v/>
      </c>
      <c r="F31" s="41">
        <f>SUM(F14:F30)</f>
        <v/>
      </c>
      <c r="G31" s="41">
        <f>SUM(G14:G30)</f>
        <v/>
      </c>
      <c r="H31" s="41">
        <f>SUM(H14:H30)</f>
        <v/>
      </c>
      <c r="I31" s="41">
        <f>SUM(I14:I30)</f>
        <v/>
      </c>
      <c r="J31" s="41">
        <f>SUM(J14:J30)</f>
        <v/>
      </c>
      <c r="K31" s="41">
        <f>SUM(K14:K30)</f>
        <v/>
      </c>
      <c r="L31" s="41">
        <f>SUM(L14:L30)</f>
        <v/>
      </c>
      <c r="M31" s="41">
        <f>SUM(M14:M30)</f>
        <v/>
      </c>
      <c r="N31" s="41">
        <f>SUM(N14:N30)</f>
        <v/>
      </c>
      <c r="O31" s="41">
        <f>SUM(O14:O30)</f>
        <v/>
      </c>
      <c r="P31" s="41">
        <f>SUM(P14:P30)</f>
        <v/>
      </c>
    </row>
    <row r="32"/>
    <row r="33"/>
    <row r="34" ht="33" customHeight="1">
      <c r="B34" s="9" t="inlineStr">
        <is>
          <t>Revenue in the current period (Section = Revenue), used by Checks!C6</t>
        </is>
      </c>
      <c r="P34" s="41">
        <f>SUMIFS(P14:P30,A14:A30,"Revenue")</f>
        <v/>
      </c>
    </row>
    <row r="35"/>
    <row r="36">
      <c r="B36" s="14" t="inlineStr">
        <is>
          <t>The Grand total by period ignores signs: it adds revenue and costs. Read it line by line against the income statement.</t>
        </is>
      </c>
    </row>
  </sheetData>
  <mergeCells count="2">
    <mergeCell ref="A3:P7"/>
    <mergeCell ref="B36:P36"/>
  </mergeCells>
  <dataValidations count="3">
    <dataValidation sqref="C9" showDropDown="0" showInputMessage="0" showErrorMessage="0" allowBlank="1" errorTitle="Invalid entry" error="Choose a value from the list." type="list">
      <formula1>"All,Revenue,Expense"</formula1>
    </dataValidation>
    <dataValidation sqref="C10" showDropDown="0" showInputMessage="0" showErrorMessage="0" allowBlank="1" errorTitle="Invalid entry" error="Choose a value from the list." type="list">
      <formula1>"All,Addis Ababa,Dessie,Woldia,Kombolcha"</formula1>
    </dataValidation>
    <dataValidation sqref="C11" showDropDown="0" showInputMessage="0" showErrorMessage="0" allowBlank="1" errorTitle="Invalid entry" error="Choose a value from the list." type="list">
      <formula1>"All,Credit,Cash,Bank,Non-cash"</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18.xml><?xml version="1.0" encoding="utf-8"?>
<worksheet xmlns="http://schemas.openxmlformats.org/spreadsheetml/2006/main">
  <sheetPr>
    <tabColor rgb="000F4C3A"/>
    <outlinePr summaryBelow="1" summaryRight="1"/>
    <pageSetUpPr fitToPage="1"/>
  </sheetPr>
  <dimension ref="A1:I32"/>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3" customWidth="1" min="1" max="1"/>
    <col width="38" customWidth="1" min="2" max="2"/>
    <col width="14" customWidth="1" min="3" max="3"/>
    <col width="14" customWidth="1" min="4" max="4"/>
    <col width="14" customWidth="1" min="5" max="5"/>
    <col width="15" customWidth="1" min="6" max="6"/>
    <col width="15" customWidth="1" min="7" max="7"/>
    <col width="3" customWidth="1" min="8" max="8"/>
    <col width="30" customWidth="1" min="9" max="9"/>
  </cols>
  <sheetData>
    <row r="1" ht="26" customHeight="1">
      <c r="A1" s="1" t="inlineStr">
        <is>
          <t>Pivot sales by customer: Sum of Amount by Counterparty and Product</t>
        </is>
      </c>
      <c r="B1" s="2" t="n"/>
      <c r="C1" s="2" t="n"/>
      <c r="D1" s="2" t="n"/>
      <c r="E1" s="2" t="n"/>
      <c r="F1" s="2" t="n"/>
      <c r="G1" s="2" t="n"/>
      <c r="H1" s="2" t="n"/>
      <c r="I1" s="2" t="n"/>
    </row>
    <row r="2"/>
    <row r="3">
      <c r="A3" s="80" t="inlineStr">
        <is>
          <t>How to insert the real pivot table: click any cell in tblTxn, choose Insert &gt; PivotTable, then put Type in Filters (choose Revenue), Counterparty in Rows, Product in Columns and Amount in Values twice: Sum of Amount (#,##0) and a second Sum of Amount shown as % of Grand Total (Value Field Settings &gt; Show Values As). Refresh with Data &gt; Refresh All after changing data. Sum Amount (before VAT), not Gross. The table below is a SUMIFS version with the same totals; type new customer names in the yellow cells.</t>
        </is>
      </c>
      <c r="B3" s="81" t="n"/>
      <c r="C3" s="81" t="n"/>
      <c r="D3" s="81" t="n"/>
      <c r="E3" s="81" t="n"/>
      <c r="F3" s="81" t="n"/>
      <c r="G3" s="81" t="n"/>
      <c r="H3" s="81" t="n"/>
      <c r="I3" s="81" t="n"/>
    </row>
    <row r="4">
      <c r="A4" s="81" t="n"/>
      <c r="B4" s="81" t="n"/>
      <c r="C4" s="81" t="n"/>
      <c r="D4" s="81" t="n"/>
      <c r="E4" s="81" t="n"/>
      <c r="F4" s="81" t="n"/>
      <c r="G4" s="81" t="n"/>
      <c r="H4" s="81" t="n"/>
      <c r="I4" s="81" t="n"/>
    </row>
    <row r="5">
      <c r="A5" s="81" t="n"/>
      <c r="B5" s="81" t="n"/>
      <c r="C5" s="81" t="n"/>
      <c r="D5" s="81" t="n"/>
      <c r="E5" s="81" t="n"/>
      <c r="F5" s="81" t="n"/>
      <c r="G5" s="81" t="n"/>
      <c r="H5" s="81" t="n"/>
      <c r="I5" s="81" t="n"/>
    </row>
    <row r="6">
      <c r="A6" s="81" t="n"/>
      <c r="B6" s="81" t="n"/>
      <c r="C6" s="81" t="n"/>
      <c r="D6" s="81" t="n"/>
      <c r="E6" s="81" t="n"/>
      <c r="F6" s="81" t="n"/>
      <c r="G6" s="81" t="n"/>
      <c r="H6" s="81" t="n"/>
      <c r="I6" s="81" t="n"/>
    </row>
    <row r="7">
      <c r="A7" s="81" t="n"/>
      <c r="B7" s="81" t="n"/>
      <c r="C7" s="81" t="n"/>
      <c r="D7" s="81" t="n"/>
      <c r="E7" s="81" t="n"/>
      <c r="F7" s="81" t="n"/>
      <c r="G7" s="81" t="n"/>
      <c r="H7" s="81" t="n"/>
      <c r="I7" s="81" t="n"/>
    </row>
    <row r="8"/>
    <row r="9">
      <c r="B9" s="9" t="inlineStr">
        <is>
          <t>Type</t>
        </is>
      </c>
      <c r="C9" s="25" t="inlineStr">
        <is>
          <t>Revenue</t>
        </is>
      </c>
    </row>
    <row r="10">
      <c r="B10" s="9" t="inlineStr">
        <is>
          <t>Period</t>
        </is>
      </c>
      <c r="C10" s="25" t="inlineStr">
        <is>
          <t>All</t>
        </is>
      </c>
    </row>
    <row r="11"/>
    <row r="12" ht="20" customHeight="1">
      <c r="B12" s="7" t="inlineStr">
        <is>
          <t>Counterparty</t>
        </is>
      </c>
      <c r="C12" s="7" t="inlineStr">
        <is>
          <t>Flour</t>
        </is>
      </c>
      <c r="D12" s="7" t="inlineStr">
        <is>
          <t>Pasta</t>
        </is>
      </c>
      <c r="E12" s="7" t="inlineStr">
        <is>
          <t>Bran</t>
        </is>
      </c>
      <c r="F12" s="7" t="inlineStr">
        <is>
          <t>Grand total</t>
        </is>
      </c>
      <c r="G12" s="7" t="inlineStr">
        <is>
          <t>% of grand total</t>
        </is>
      </c>
    </row>
    <row r="13">
      <c r="B13" s="25" t="inlineStr">
        <is>
          <t>Merkato Grain Traders PLC</t>
        </is>
      </c>
      <c r="C13" s="31">
        <f>IF($B13="",0,SUMIFS(Transactions!$N$5:$N$1004,Transactions!$I$5:$I$1004,$B13,Transactions!$H$5:$H$1004,C$12,Transactions!$G$5:$G$1004,$C$9,Transactions!$B$5:$B$1004,IF($C$10="All","&lt;&gt;",$C$10)))</f>
        <v/>
      </c>
      <c r="D13" s="31">
        <f>IF($B13="",0,SUMIFS(Transactions!$N$5:$N$1004,Transactions!$I$5:$I$1004,$B13,Transactions!$H$5:$H$1004,D$12,Transactions!$G$5:$G$1004,$C$9,Transactions!$B$5:$B$1004,IF($C$10="All","&lt;&gt;",$C$10)))</f>
        <v/>
      </c>
      <c r="E13" s="31">
        <f>IF($B13="",0,SUMIFS(Transactions!$N$5:$N$1004,Transactions!$I$5:$I$1004,$B13,Transactions!$H$5:$H$1004,E$12,Transactions!$G$5:$G$1004,$C$9,Transactions!$B$5:$B$1004,IF($C$10="All","&lt;&gt;",$C$10)))</f>
        <v/>
      </c>
      <c r="F13" s="41">
        <f>SUM(C13:E13)</f>
        <v/>
      </c>
      <c r="G13" s="37">
        <f>IF($F$21=0,0,F13/$F$21)</f>
        <v/>
      </c>
    </row>
    <row r="14">
      <c r="B14" s="25" t="inlineStr">
        <is>
          <t>Dessie Star Distributors</t>
        </is>
      </c>
      <c r="C14" s="31">
        <f>IF($B14="",0,SUMIFS(Transactions!$N$5:$N$1004,Transactions!$I$5:$I$1004,$B14,Transactions!$H$5:$H$1004,C$12,Transactions!$G$5:$G$1004,$C$9,Transactions!$B$5:$B$1004,IF($C$10="All","&lt;&gt;",$C$10)))</f>
        <v/>
      </c>
      <c r="D14" s="31">
        <f>IF($B14="",0,SUMIFS(Transactions!$N$5:$N$1004,Transactions!$I$5:$I$1004,$B14,Transactions!$H$5:$H$1004,D$12,Transactions!$G$5:$G$1004,$C$9,Transactions!$B$5:$B$1004,IF($C$10="All","&lt;&gt;",$C$10)))</f>
        <v/>
      </c>
      <c r="E14" s="31">
        <f>IF($B14="",0,SUMIFS(Transactions!$N$5:$N$1004,Transactions!$I$5:$I$1004,$B14,Transactions!$H$5:$H$1004,E$12,Transactions!$G$5:$G$1004,$C$9,Transactions!$B$5:$B$1004,IF($C$10="All","&lt;&gt;",$C$10)))</f>
        <v/>
      </c>
      <c r="F14" s="41">
        <f>SUM(C14:E14)</f>
        <v/>
      </c>
      <c r="G14" s="37">
        <f>IF($F$21=0,0,F14/$F$21)</f>
        <v/>
      </c>
    </row>
    <row r="15">
      <c r="B15" s="25" t="inlineStr">
        <is>
          <t>Woldia Family Supermarket</t>
        </is>
      </c>
      <c r="C15" s="31">
        <f>IF($B15="",0,SUMIFS(Transactions!$N$5:$N$1004,Transactions!$I$5:$I$1004,$B15,Transactions!$H$5:$H$1004,C$12,Transactions!$G$5:$G$1004,$C$9,Transactions!$B$5:$B$1004,IF($C$10="All","&lt;&gt;",$C$10)))</f>
        <v/>
      </c>
      <c r="D15" s="31">
        <f>IF($B15="",0,SUMIFS(Transactions!$N$5:$N$1004,Transactions!$I$5:$I$1004,$B15,Transactions!$H$5:$H$1004,D$12,Transactions!$G$5:$G$1004,$C$9,Transactions!$B$5:$B$1004,IF($C$10="All","&lt;&gt;",$C$10)))</f>
        <v/>
      </c>
      <c r="E15" s="31">
        <f>IF($B15="",0,SUMIFS(Transactions!$N$5:$N$1004,Transactions!$I$5:$I$1004,$B15,Transactions!$H$5:$H$1004,E$12,Transactions!$G$5:$G$1004,$C$9,Transactions!$B$5:$B$1004,IF($C$10="All","&lt;&gt;",$C$10)))</f>
        <v/>
      </c>
      <c r="F15" s="41">
        <f>SUM(C15:E15)</f>
        <v/>
      </c>
      <c r="G15" s="37">
        <f>IF($F$21=0,0,F15/$F$21)</f>
        <v/>
      </c>
    </row>
    <row r="16">
      <c r="B16" s="25" t="inlineStr">
        <is>
          <t>Bati Road Wholesalers</t>
        </is>
      </c>
      <c r="C16" s="31">
        <f>IF($B16="",0,SUMIFS(Transactions!$N$5:$N$1004,Transactions!$I$5:$I$1004,$B16,Transactions!$H$5:$H$1004,C$12,Transactions!$G$5:$G$1004,$C$9,Transactions!$B$5:$B$1004,IF($C$10="All","&lt;&gt;",$C$10)))</f>
        <v/>
      </c>
      <c r="D16" s="31">
        <f>IF($B16="",0,SUMIFS(Transactions!$N$5:$N$1004,Transactions!$I$5:$I$1004,$B16,Transactions!$H$5:$H$1004,D$12,Transactions!$G$5:$G$1004,$C$9,Transactions!$B$5:$B$1004,IF($C$10="All","&lt;&gt;",$C$10)))</f>
        <v/>
      </c>
      <c r="E16" s="31">
        <f>IF($B16="",0,SUMIFS(Transactions!$N$5:$N$1004,Transactions!$I$5:$I$1004,$B16,Transactions!$H$5:$H$1004,E$12,Transactions!$G$5:$G$1004,$C$9,Transactions!$B$5:$B$1004,IF($C$10="All","&lt;&gt;",$C$10)))</f>
        <v/>
      </c>
      <c r="F16" s="41">
        <f>SUM(C16:E16)</f>
        <v/>
      </c>
      <c r="G16" s="37">
        <f>IF($F$21=0,0,F16/$F$21)</f>
        <v/>
      </c>
    </row>
    <row r="17">
      <c r="B17" s="25" t="inlineStr">
        <is>
          <t>Factory shop</t>
        </is>
      </c>
      <c r="C17" s="31">
        <f>IF($B17="",0,SUMIFS(Transactions!$N$5:$N$1004,Transactions!$I$5:$I$1004,$B17,Transactions!$H$5:$H$1004,C$12,Transactions!$G$5:$G$1004,$C$9,Transactions!$B$5:$B$1004,IF($C$10="All","&lt;&gt;",$C$10)))</f>
        <v/>
      </c>
      <c r="D17" s="31">
        <f>IF($B17="",0,SUMIFS(Transactions!$N$5:$N$1004,Transactions!$I$5:$I$1004,$B17,Transactions!$H$5:$H$1004,D$12,Transactions!$G$5:$G$1004,$C$9,Transactions!$B$5:$B$1004,IF($C$10="All","&lt;&gt;",$C$10)))</f>
        <v/>
      </c>
      <c r="E17" s="31">
        <f>IF($B17="",0,SUMIFS(Transactions!$N$5:$N$1004,Transactions!$I$5:$I$1004,$B17,Transactions!$H$5:$H$1004,E$12,Transactions!$G$5:$G$1004,$C$9,Transactions!$B$5:$B$1004,IF($C$10="All","&lt;&gt;",$C$10)))</f>
        <v/>
      </c>
      <c r="F17" s="41">
        <f>SUM(C17:E17)</f>
        <v/>
      </c>
      <c r="G17" s="37">
        <f>IF($F$21=0,0,F17/$F$21)</f>
        <v/>
      </c>
    </row>
    <row r="18">
      <c r="B18" s="25" t="inlineStr">
        <is>
          <t>Borkena Dairy Farmers Cooperative</t>
        </is>
      </c>
      <c r="C18" s="31">
        <f>IF($B18="",0,SUMIFS(Transactions!$N$5:$N$1004,Transactions!$I$5:$I$1004,$B18,Transactions!$H$5:$H$1004,C$12,Transactions!$G$5:$G$1004,$C$9,Transactions!$B$5:$B$1004,IF($C$10="All","&lt;&gt;",$C$10)))</f>
        <v/>
      </c>
      <c r="D18" s="31">
        <f>IF($B18="",0,SUMIFS(Transactions!$N$5:$N$1004,Transactions!$I$5:$I$1004,$B18,Transactions!$H$5:$H$1004,D$12,Transactions!$G$5:$G$1004,$C$9,Transactions!$B$5:$B$1004,IF($C$10="All","&lt;&gt;",$C$10)))</f>
        <v/>
      </c>
      <c r="E18" s="31">
        <f>IF($B18="",0,SUMIFS(Transactions!$N$5:$N$1004,Transactions!$I$5:$I$1004,$B18,Transactions!$H$5:$H$1004,E$12,Transactions!$G$5:$G$1004,$C$9,Transactions!$B$5:$B$1004,IF($C$10="All","&lt;&gt;",$C$10)))</f>
        <v/>
      </c>
      <c r="F18" s="41">
        <f>SUM(C18:E18)</f>
        <v/>
      </c>
      <c r="G18" s="37">
        <f>IF($F$21=0,0,F18/$F$21)</f>
        <v/>
      </c>
    </row>
    <row r="19">
      <c r="B19" s="25" t="n"/>
      <c r="C19" s="31">
        <f>IF($B19="",0,SUMIFS(Transactions!$N$5:$N$1004,Transactions!$I$5:$I$1004,$B19,Transactions!$H$5:$H$1004,C$12,Transactions!$G$5:$G$1004,$C$9,Transactions!$B$5:$B$1004,IF($C$10="All","&lt;&gt;",$C$10)))</f>
        <v/>
      </c>
      <c r="D19" s="31">
        <f>IF($B19="",0,SUMIFS(Transactions!$N$5:$N$1004,Transactions!$I$5:$I$1004,$B19,Transactions!$H$5:$H$1004,D$12,Transactions!$G$5:$G$1004,$C$9,Transactions!$B$5:$B$1004,IF($C$10="All","&lt;&gt;",$C$10)))</f>
        <v/>
      </c>
      <c r="E19" s="31">
        <f>IF($B19="",0,SUMIFS(Transactions!$N$5:$N$1004,Transactions!$I$5:$I$1004,$B19,Transactions!$H$5:$H$1004,E$12,Transactions!$G$5:$G$1004,$C$9,Transactions!$B$5:$B$1004,IF($C$10="All","&lt;&gt;",$C$10)))</f>
        <v/>
      </c>
      <c r="F19" s="41">
        <f>SUM(C19:E19)</f>
        <v/>
      </c>
      <c r="G19" s="37">
        <f>IF($F$21=0,0,F19/$F$21)</f>
        <v/>
      </c>
    </row>
    <row r="20">
      <c r="B20" s="25" t="n"/>
      <c r="C20" s="31">
        <f>IF($B20="",0,SUMIFS(Transactions!$N$5:$N$1004,Transactions!$I$5:$I$1004,$B20,Transactions!$H$5:$H$1004,C$12,Transactions!$G$5:$G$1004,$C$9,Transactions!$B$5:$B$1004,IF($C$10="All","&lt;&gt;",$C$10)))</f>
        <v/>
      </c>
      <c r="D20" s="31">
        <f>IF($B20="",0,SUMIFS(Transactions!$N$5:$N$1004,Transactions!$I$5:$I$1004,$B20,Transactions!$H$5:$H$1004,D$12,Transactions!$G$5:$G$1004,$C$9,Transactions!$B$5:$B$1004,IF($C$10="All","&lt;&gt;",$C$10)))</f>
        <v/>
      </c>
      <c r="E20" s="31">
        <f>IF($B20="",0,SUMIFS(Transactions!$N$5:$N$1004,Transactions!$I$5:$I$1004,$B20,Transactions!$H$5:$H$1004,E$12,Transactions!$G$5:$G$1004,$C$9,Transactions!$B$5:$B$1004,IF($C$10="All","&lt;&gt;",$C$10)))</f>
        <v/>
      </c>
      <c r="F20" s="41">
        <f>SUM(C20:E20)</f>
        <v/>
      </c>
      <c r="G20" s="37">
        <f>IF($F$21=0,0,F20/$F$21)</f>
        <v/>
      </c>
    </row>
    <row r="21">
      <c r="B21" s="9" t="inlineStr">
        <is>
          <t>Grand total</t>
        </is>
      </c>
      <c r="C21" s="41">
        <f>SUM(C13:C20)</f>
        <v/>
      </c>
      <c r="D21" s="41">
        <f>SUM(D13:D20)</f>
        <v/>
      </c>
      <c r="E21" s="41">
        <f>SUM(E13:E20)</f>
        <v/>
      </c>
      <c r="F21" s="41">
        <f>SUM(F13:F20)</f>
        <v/>
      </c>
      <c r="G21" s="42">
        <f>IF($F$21=0,0,F21/$F$21)</f>
        <v/>
      </c>
    </row>
    <row r="22" ht="33" customHeight="1">
      <c r="B22" s="10" t="inlineStr">
        <is>
          <t>Check: grand total minus all rows of this type</t>
        </is>
      </c>
      <c r="F22" s="41">
        <f>F21-SUMIFS(Transactions!$N$5:$N$1004,Transactions!$G$5:$G$1004,$C$9,Transactions!$B$5:$B$1004,IF($C$10="All","&lt;&gt;",$C$10))</f>
        <v/>
      </c>
    </row>
    <row r="23">
      <c r="B23" s="9" t="inlineStr">
        <is>
          <t>Two largest customers, share of total</t>
        </is>
      </c>
      <c r="F23" s="42">
        <f>IF(F21=0,0,(LARGE(F13:F20,1)+LARGE(F13:F20,2))/F21)</f>
        <v/>
      </c>
    </row>
    <row r="24"/>
    <row r="25" ht="20" customHeight="1">
      <c r="B25" s="7" t="inlineStr">
        <is>
          <t>Region</t>
        </is>
      </c>
      <c r="C25" s="7" t="inlineStr">
        <is>
          <t>Amount</t>
        </is>
      </c>
      <c r="D25" s="7" t="inlineStr">
        <is>
          <t>% of total</t>
        </is>
      </c>
    </row>
    <row r="26">
      <c r="B26" s="25" t="inlineStr">
        <is>
          <t>Addis Ababa</t>
        </is>
      </c>
      <c r="C26" s="31">
        <f>SUMIFS(Transactions!$N$5:$N$1004,Transactions!$J$5:$J$1004,$B26,Transactions!$G$5:$G$1004,$C$9,Transactions!$B$5:$B$1004,IF($C$10="All","&lt;&gt;",$C$10))</f>
        <v/>
      </c>
      <c r="D26" s="37">
        <f>IF($C$31=0,0,C26/$C$31)</f>
        <v/>
      </c>
    </row>
    <row r="27">
      <c r="B27" s="25" t="inlineStr">
        <is>
          <t>Dessie</t>
        </is>
      </c>
      <c r="C27" s="31">
        <f>SUMIFS(Transactions!$N$5:$N$1004,Transactions!$J$5:$J$1004,$B27,Transactions!$G$5:$G$1004,$C$9,Transactions!$B$5:$B$1004,IF($C$10="All","&lt;&gt;",$C$10))</f>
        <v/>
      </c>
      <c r="D27" s="37">
        <f>IF($C$31=0,0,C27/$C$31)</f>
        <v/>
      </c>
    </row>
    <row r="28">
      <c r="B28" s="25" t="inlineStr">
        <is>
          <t>Woldia</t>
        </is>
      </c>
      <c r="C28" s="31">
        <f>SUMIFS(Transactions!$N$5:$N$1004,Transactions!$J$5:$J$1004,$B28,Transactions!$G$5:$G$1004,$C$9,Transactions!$B$5:$B$1004,IF($C$10="All","&lt;&gt;",$C$10))</f>
        <v/>
      </c>
      <c r="D28" s="37">
        <f>IF($C$31=0,0,C28/$C$31)</f>
        <v/>
      </c>
    </row>
    <row r="29">
      <c r="B29" s="25" t="inlineStr">
        <is>
          <t>Kombolcha</t>
        </is>
      </c>
      <c r="C29" s="31">
        <f>SUMIFS(Transactions!$N$5:$N$1004,Transactions!$J$5:$J$1004,$B29,Transactions!$G$5:$G$1004,$C$9,Transactions!$B$5:$B$1004,IF($C$10="All","&lt;&gt;",$C$10))</f>
        <v/>
      </c>
      <c r="D29" s="37">
        <f>IF($C$31=0,0,C29/$C$31)</f>
        <v/>
      </c>
    </row>
    <row r="30">
      <c r="B30" s="25" t="inlineStr">
        <is>
          <t>All</t>
        </is>
      </c>
      <c r="C30" s="31">
        <f>SUMIFS(Transactions!$N$5:$N$1004,Transactions!$J$5:$J$1004,$B30,Transactions!$G$5:$G$1004,$C$9,Transactions!$B$5:$B$1004,IF($C$10="All","&lt;&gt;",$C$10))</f>
        <v/>
      </c>
      <c r="D30" s="37">
        <f>IF($C$31=0,0,C30/$C$31)</f>
        <v/>
      </c>
    </row>
    <row r="31">
      <c r="B31" s="9" t="inlineStr">
        <is>
          <t>Total</t>
        </is>
      </c>
      <c r="C31" s="41">
        <f>SUM(C26:C30)</f>
        <v/>
      </c>
      <c r="D31" s="42">
        <f>SUM(D26:D30)</f>
        <v/>
      </c>
    </row>
    <row r="32">
      <c r="B32" s="14" t="inlineStr">
        <is>
          <t>Region "All" holds rows not tied to one region (for example transport out); for revenue it is 0.</t>
        </is>
      </c>
    </row>
  </sheetData>
  <mergeCells count="2">
    <mergeCell ref="A3:I7"/>
    <mergeCell ref="B32:G32"/>
  </mergeCells>
  <conditionalFormatting sqref="F22">
    <cfRule type="expression" priority="1" dxfId="0">
      <formula>AND(ISNUMBER(F22),ABS(F22)&gt;0.005)</formula>
    </cfRule>
    <cfRule type="expression" priority="2" dxfId="1">
      <formula>AND(ISNUMBER(F22),ABS(F22)&lt;=0.005)</formula>
    </cfRule>
  </conditionalFormatting>
  <dataValidations count="2">
    <dataValidation sqref="C9" showDropDown="0" showInputMessage="0" showErrorMessage="0" allowBlank="1" errorTitle="Invalid entry" error="Choose a value from the list." type="list">
      <formula1>"Revenue,Expense"</formula1>
    </dataValidation>
    <dataValidation sqref="C10" showDropDown="0" showInputMessage="0" showErrorMessage="0" allowBlank="1" errorTitle="Invalid entry" error="Choose a value from the list." type="list">
      <formula1>=Lists!$B$4:$B$15</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2026-10-22T15:40:21Z</dcterms:created>
  <dcterms:modified xmlns:dcterms="http://purl.org/dc/terms/" xmlns:xsi="http://www.w3.org/2001/XMLSchema-instance" xsi:type="dcterms:W3CDTF">2026-10-22T15:40:22Z</dcterms:modified>
</cp:coreProperties>
</file>