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Rates and Assumptions" sheetId="2" state="visible" r:id="rId2"/>
    <sheet xmlns:r="http://schemas.openxmlformats.org/officeDocument/2006/relationships" name="Health Check and Risk Register" sheetId="3" state="visible" r:id="rId3"/>
    <sheet xmlns:r="http://schemas.openxmlformats.org/officeDocument/2006/relationships" name="Debt vs Equity" sheetId="4" state="visible" r:id="rId4"/>
    <sheet xmlns:r="http://schemas.openxmlformats.org/officeDocument/2006/relationships" name="Lease vs Buy" sheetId="5" state="visible" r:id="rId5"/>
    <sheet xmlns:r="http://schemas.openxmlformats.org/officeDocument/2006/relationships" name="Incentive Comparison" sheetId="6" state="visible" r:id="rId6"/>
    <sheet xmlns:r="http://schemas.openxmlformats.org/officeDocument/2006/relationships" name="Transfer Pricing Checklist" sheetId="7" state="visible" r:id="rId7"/>
    <sheet xmlns:r="http://schemas.openxmlformats.org/officeDocument/2006/relationships" name="Acquisition Due Diligence" sheetId="8" state="visible" r:id="rId8"/>
  </sheets>
  <definedNames>
    <definedName name="CIT_Rate">'Rates and Assumptions'!$C$5</definedName>
    <definedName name="MAT_Rate">'Rates and Assumptions'!$C$6</definedName>
    <definedName name="MAT_CreditYears">'Rates and Assumptions'!$C$7</definedName>
    <definedName name="Div_WHT">'Rates and Assumptions'!$C$8</definedName>
    <definedName name="UPT_Rate">'Rates and Assumptions'!$C$9</definedName>
    <definedName name="Int_WHT">'Rates and Assumptions'!$C$10</definedName>
    <definedName name="Fee_WHT_NR">'Rates and Assumptions'!$C$11</definedName>
    <definedName name="Roy_WHT">'Rates and Assumptions'!$C$12</definedName>
    <definedName name="Dom_WHT">'Rates and Assumptions'!$C$13</definedName>
    <definedName name="NoTIN_WHT">'Rates and Assumptions'!$C$14</definedName>
    <definedName name="VAT_Rate">'Rates and Assumptions'!$C$15</definedName>
    <definedName name="CashLimit">'Rates and Assumptions'!$C$16</definedName>
    <definedName name="RefRate">'Rates and Assumptions'!$C$17</definedName>
    <definedName name="RateCapMargin">'Rates and Assumptions'!$C$18</definedName>
    <definedName name="CGT_Shares_Low">'Rates and Assumptions'!$C$19</definedName>
    <definedName name="CGT_Shares_High">'Rates and Assumptions'!$C$20</definedName>
    <definedName name="StampDuty_Title">'Rates and Assumptions'!$C$21</definedName>
    <definedName name="StampDuty_Lease">'Rates and Assumptions'!$C$22</definedName>
    <definedName name="PE_Days">'Rates and Assumptions'!$C$23</definedName>
    <definedName name="Incentive_MinUSD">'Rates and Assumptions'!$C$24</definedName>
    <definedName name="CapDeduction_MinUSD">'Rates and Assumptions'!$C$25</definedName>
    <definedName name="CapDeduction_Rate">'Rates and Assumptions'!$C$26</definedName>
    <definedName name="Dep_Build">'Rates and Assumptions'!$C$27</definedName>
    <definedName name="Dep_Comp_SL">'Rates and Assumptions'!$C$28</definedName>
    <definedName name="Dep_Comp_DV">'Rates and Assumptions'!$C$29</definedName>
    <definedName name="Dep_Other_SL">'Rates and Assumptions'!$C$30</definedName>
    <definedName name="Dep_Other_DV">'Rates and Assumptions'!$C$31</definedName>
    <definedName name="Dep_Mining_SL">'Rates and Assumptions'!$C$32</definedName>
    <definedName name="Dep_Mining_DV">'Rates and Assumptions'!$C$33</definedName>
    <definedName name="Dep_Intang">'Rates and Assumptions'!$C$34</definedName>
    <definedName name="Dep_Green">'Rates and Assumptions'!$C$35</definedName>
    <definedName name="ThinCap_Ratio">'Rates and Assumptions'!$C$36</definedName>
    <definedName name="Late_Int_Add">'Rates and Assumptions'!$C$37</definedName>
    <definedName name="TP_Scope">'Rates and Assumptions'!$C$38</definedName>
    <definedName name="Reassess_Years">'Rates and Assumptions'!$C$39</definedName>
    <definedName name="Likelihood">'Rates and Assumptions'!$A$43:$B$45</definedName>
    <definedName name="Routes">'Rates and Assumptions'!$A$49:$C$54</definedName>
    <definedName name="RouteNames">'Rates and Assumptions'!$A$49:$A$54</definedName>
    <definedName name="_xlnm.Print_Area" localSheetId="0">'Instructions'!$A$1:$C$29</definedName>
    <definedName name="_xlnm.Print_Titles" localSheetId="1">'Rates and Assumptions'!$4:$4</definedName>
    <definedName name="_xlnm.Print_Area" localSheetId="1">'Rates and Assumptions'!$A$1:$E$56</definedName>
    <definedName name="_xlnm.Print_Area" localSheetId="2">'Health Check and Risk Register'!$A$1:$P$49</definedName>
    <definedName name="_xlnm.Print_Area" localSheetId="3">'Debt vs Equity'!$A$1:$E$44</definedName>
    <definedName name="_xlnm.Print_Area" localSheetId="4">'Lease vs Buy'!$A$1:$G$63</definedName>
    <definedName name="_xlnm.Print_Area" localSheetId="5">'Incentive Comparison'!$A$1:$I$58</definedName>
    <definedName name="_xlnm.Print_Area" localSheetId="6">'Transfer Pricing Checklist'!$A$1:$M$32</definedName>
    <definedName name="_xlnm.Print_Area" localSheetId="7">'Acquisition Due Diligence'!$A$1:$F$52</definedName>
  </definedNames>
  <calcPr calcId="124519" fullCalcOnLoad="1"/>
</workbook>
</file>

<file path=xl/styles.xml><?xml version="1.0" encoding="utf-8"?>
<styleSheet xmlns="http://schemas.openxmlformats.org/spreadsheetml/2006/main">
  <numFmts count="4">
    <numFmt numFmtId="164" formatCode="0.0%"/>
    <numFmt numFmtId="165" formatCode="#,##0;(#,##0);0"/>
    <numFmt numFmtId="166" formatCode="&quot;USD &quot;#,##0"/>
    <numFmt numFmtId="167" formatCode="0.0"/>
  </numFmts>
  <fonts count="12">
    <font>
      <name val="Calibri"/>
      <family val="2"/>
      <color theme="1"/>
      <sz val="11"/>
      <scheme val="minor"/>
    </font>
    <font>
      <name val="Calibri"/>
      <b val="1"/>
      <color rgb="000F4C3A"/>
      <sz val="16"/>
    </font>
    <font>
      <name val="Calibri"/>
      <sz val="11"/>
    </font>
    <font>
      <name val="Calibri"/>
      <b val="1"/>
      <color rgb="000F4C3A"/>
      <sz val="11"/>
    </font>
    <font>
      <name val="Calibri"/>
      <b val="1"/>
      <color rgb="000F4C3A"/>
      <sz val="12"/>
    </font>
    <font>
      <name val="Calibri"/>
      <b val="1"/>
      <color rgb="00FFFFFF"/>
      <sz val="11"/>
    </font>
    <font>
      <name val="Calibri"/>
      <b val="1"/>
      <sz val="11"/>
    </font>
    <font>
      <name val="Calibri"/>
      <i val="1"/>
      <color rgb="000F4C3A"/>
      <sz val="10"/>
    </font>
    <font>
      <name val="Calibri"/>
      <i val="1"/>
      <color rgb="00555555"/>
      <sz val="11"/>
    </font>
    <font>
      <name val="Calibri"/>
      <color rgb="001F1F1F"/>
      <sz val="11"/>
    </font>
    <font>
      <name val="Calibri"/>
      <i val="1"/>
      <color rgb="00555555"/>
      <sz val="10"/>
    </font>
    <font>
      <name val="Calibri"/>
      <b val="1"/>
      <color rgb="009C0006"/>
      <sz val="11"/>
    </font>
  </fonts>
  <fills count="4">
    <fill>
      <patternFill/>
    </fill>
    <fill>
      <patternFill patternType="gray125"/>
    </fill>
    <fill>
      <patternFill patternType="solid">
        <fgColor rgb="000F4C3A"/>
      </patternFill>
    </fill>
    <fill>
      <patternFill patternType="solid">
        <fgColor rgb="00FFF2CC"/>
      </patternFill>
    </fill>
  </fills>
  <borders count="9">
    <border>
      <left/>
      <right/>
      <top/>
      <bottom/>
      <diagonal/>
    </border>
    <border>
      <bottom style="medium">
        <color rgb="00D4A72C"/>
      </bottom>
    </border>
    <border>
      <left style="thin">
        <color rgb="00BFBFBF"/>
      </left>
      <right style="thin">
        <color rgb="00BFBFBF"/>
      </right>
      <top style="thin">
        <color rgb="00BFBFBF"/>
      </top>
      <bottom style="thin">
        <color rgb="00BFBFBF"/>
      </bottom>
    </border>
    <border>
      <top style="medium">
        <color rgb="00D4A72C"/>
      </top>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
      <left/>
      <right/>
      <top style="thin">
        <color rgb="00BFBFBF"/>
      </top>
      <bottom style="thin">
        <color rgb="00BFBFBF"/>
      </bottom>
      <diagonal/>
    </border>
    <border>
      <left style="thin">
        <color rgb="00BFBFBF"/>
      </left>
      <right style="thin">
        <color rgb="00BFBFBF"/>
      </right>
      <top style="medium">
        <color rgb="00D4A72C"/>
      </top>
      <bottom style="thin">
        <color rgb="00BFBFBF"/>
      </bottom>
    </border>
  </borders>
  <cellStyleXfs count="1">
    <xf numFmtId="0" fontId="0" fillId="0" borderId="0"/>
  </cellStyleXfs>
  <cellXfs count="42">
    <xf numFmtId="0" fontId="0" fillId="0" borderId="0" pivotButton="0" quotePrefix="0" xfId="0"/>
    <xf numFmtId="0" fontId="1" fillId="0" borderId="1" applyAlignment="1" pivotButton="0" quotePrefix="0" xfId="0">
      <alignment vertical="center"/>
    </xf>
    <xf numFmtId="0" fontId="0" fillId="0" borderId="1" pivotButton="0" quotePrefix="0" xfId="0"/>
    <xf numFmtId="0" fontId="3" fillId="0" borderId="0" applyAlignment="1" pivotButton="0" quotePrefix="0" xfId="0">
      <alignment vertical="top" wrapText="1"/>
    </xf>
    <xf numFmtId="0" fontId="2" fillId="0" borderId="0" applyAlignment="1" pivotButton="0" quotePrefix="0" xfId="0">
      <alignment vertical="top" wrapText="1"/>
    </xf>
    <xf numFmtId="0" fontId="4" fillId="0" borderId="0" pivotButton="0" quotePrefix="0" xfId="0"/>
    <xf numFmtId="0" fontId="5" fillId="2" borderId="2" applyAlignment="1" pivotButton="0" quotePrefix="0" xfId="0">
      <alignment horizontal="center" vertical="center" wrapText="1"/>
    </xf>
    <xf numFmtId="0" fontId="0" fillId="0" borderId="2" pivotButton="0" quotePrefix="0" xfId="0"/>
    <xf numFmtId="0" fontId="6" fillId="0" borderId="2" applyAlignment="1" pivotButton="0" quotePrefix="0" xfId="0">
      <alignment vertical="top" wrapText="1"/>
    </xf>
    <xf numFmtId="0" fontId="2" fillId="0" borderId="2" applyAlignment="1" pivotButton="0" quotePrefix="0" xfId="0">
      <alignment vertical="top" wrapText="1"/>
    </xf>
    <xf numFmtId="0" fontId="7" fillId="0" borderId="3" applyAlignment="1" pivotButton="0" quotePrefix="0" xfId="0">
      <alignment vertical="center" wrapText="1"/>
    </xf>
    <xf numFmtId="0" fontId="0" fillId="0" borderId="3" pivotButton="0" quotePrefix="0" xfId="0"/>
    <xf numFmtId="0" fontId="7" fillId="0" borderId="3" applyAlignment="1" pivotButton="0" quotePrefix="0" xfId="0">
      <alignment horizontal="center" vertical="center"/>
    </xf>
    <xf numFmtId="0" fontId="8" fillId="0" borderId="0" applyAlignment="1" pivotButton="0" quotePrefix="0" xfId="0">
      <alignment vertical="top" wrapText="1"/>
    </xf>
    <xf numFmtId="9" fontId="2" fillId="3" borderId="2" applyAlignment="1" applyProtection="1" pivotButton="0" quotePrefix="0" xfId="0">
      <alignment horizontal="center" vertical="top" wrapText="1"/>
      <protection locked="0" hidden="0"/>
    </xf>
    <xf numFmtId="0" fontId="2" fillId="3" borderId="2" applyAlignment="1" applyProtection="1" pivotButton="0" quotePrefix="0" xfId="0">
      <alignment horizontal="center" vertical="top" wrapText="1"/>
      <protection locked="0" hidden="0"/>
    </xf>
    <xf numFmtId="164" fontId="2" fillId="3" borderId="2" applyAlignment="1" applyProtection="1" pivotButton="0" quotePrefix="0" xfId="0">
      <alignment horizontal="center" vertical="top" wrapText="1"/>
      <protection locked="0" hidden="0"/>
    </xf>
    <xf numFmtId="1" fontId="2" fillId="3" borderId="2" applyAlignment="1" applyProtection="1" pivotButton="0" quotePrefix="0" xfId="0">
      <alignment horizontal="center" vertical="top" wrapText="1"/>
      <protection locked="0" hidden="0"/>
    </xf>
    <xf numFmtId="165" fontId="2" fillId="3" borderId="2" applyAlignment="1" applyProtection="1" pivotButton="0" quotePrefix="0" xfId="0">
      <alignment horizontal="right" vertical="top" wrapText="1"/>
      <protection locked="0" hidden="0"/>
    </xf>
    <xf numFmtId="166" fontId="2" fillId="3" borderId="2" applyAlignment="1" applyProtection="1" pivotButton="0" quotePrefix="0" xfId="0">
      <alignment horizontal="right" vertical="top" wrapText="1"/>
      <protection locked="0" hidden="0"/>
    </xf>
    <xf numFmtId="167" fontId="2" fillId="3" borderId="2" applyAlignment="1" applyProtection="1" pivotButton="0" quotePrefix="0" xfId="0">
      <alignment horizontal="center" vertical="top" wrapText="1"/>
      <protection locked="0" hidden="0"/>
    </xf>
    <xf numFmtId="9" fontId="9" fillId="0" borderId="2" applyAlignment="1" pivotButton="0" quotePrefix="0" xfId="0">
      <alignment horizontal="center" vertical="top" wrapText="1"/>
    </xf>
    <xf numFmtId="0" fontId="0" fillId="0" borderId="6" pivotButton="0" quotePrefix="0" xfId="0"/>
    <xf numFmtId="0" fontId="0" fillId="0" borderId="7" pivotButton="0" quotePrefix="0" xfId="0"/>
    <xf numFmtId="0" fontId="2" fillId="0" borderId="2" applyAlignment="1" pivotButton="0" quotePrefix="0" xfId="0">
      <alignment horizontal="center" vertical="top" wrapText="1"/>
    </xf>
    <xf numFmtId="0" fontId="2" fillId="3" borderId="2" applyAlignment="1" applyProtection="1" pivotButton="0" quotePrefix="0" xfId="0">
      <alignment vertical="top" wrapText="1"/>
      <protection locked="0" hidden="0"/>
    </xf>
    <xf numFmtId="0" fontId="6" fillId="0" borderId="8" applyAlignment="1" pivotButton="0" quotePrefix="0" xfId="0">
      <alignment vertical="top" wrapText="1"/>
    </xf>
    <xf numFmtId="0" fontId="6" fillId="0" borderId="8" pivotButton="0" quotePrefix="0" xfId="0"/>
    <xf numFmtId="1" fontId="6" fillId="0" borderId="8" applyAlignment="1" pivotButton="0" quotePrefix="0" xfId="0">
      <alignment horizontal="center" vertical="top" wrapText="1"/>
    </xf>
    <xf numFmtId="1" fontId="6" fillId="0" borderId="2" applyAlignment="1" pivotButton="0" quotePrefix="0" xfId="0">
      <alignment horizontal="center" vertical="top" wrapText="1"/>
    </xf>
    <xf numFmtId="165" fontId="6" fillId="0" borderId="2" applyAlignment="1" pivotButton="0" quotePrefix="0" xfId="0">
      <alignment horizontal="right" vertical="top" wrapText="1"/>
    </xf>
    <xf numFmtId="0" fontId="6" fillId="0" borderId="2" applyAlignment="1" pivotButton="0" quotePrefix="0" xfId="0">
      <alignment horizontal="center" vertical="top" wrapText="1"/>
    </xf>
    <xf numFmtId="0" fontId="10" fillId="0" borderId="0" applyAlignment="1" pivotButton="0" quotePrefix="0" xfId="0">
      <alignment vertical="top" wrapText="1"/>
    </xf>
    <xf numFmtId="165" fontId="9" fillId="0" borderId="2" applyAlignment="1" pivotButton="0" quotePrefix="0" xfId="0">
      <alignment horizontal="right" vertical="top" wrapText="1"/>
    </xf>
    <xf numFmtId="165" fontId="6" fillId="0" borderId="8" applyAlignment="1" pivotButton="0" quotePrefix="0" xfId="0">
      <alignment horizontal="right" vertical="top" wrapText="1"/>
    </xf>
    <xf numFmtId="0" fontId="10" fillId="0" borderId="2" applyAlignment="1" pivotButton="0" quotePrefix="0" xfId="0">
      <alignment vertical="top" wrapText="1"/>
    </xf>
    <xf numFmtId="0" fontId="9" fillId="0" borderId="2" applyAlignment="1" pivotButton="0" quotePrefix="0" xfId="0">
      <alignment horizontal="center" vertical="top" wrapText="1"/>
    </xf>
    <xf numFmtId="164" fontId="6" fillId="0" borderId="2" applyAlignment="1" pivotButton="0" quotePrefix="0" xfId="0">
      <alignment horizontal="center" vertical="top" wrapText="1"/>
    </xf>
    <xf numFmtId="9" fontId="6" fillId="0" borderId="2" applyAlignment="1" pivotButton="0" quotePrefix="0" xfId="0">
      <alignment horizontal="center" vertical="top" wrapText="1"/>
    </xf>
    <xf numFmtId="0" fontId="11" fillId="0" borderId="2" applyAlignment="1" pivotButton="0" quotePrefix="0" xfId="0">
      <alignment vertical="top" wrapText="1"/>
    </xf>
    <xf numFmtId="164" fontId="6" fillId="0" borderId="8" applyAlignment="1" pivotButton="0" quotePrefix="0" xfId="0">
      <alignment horizontal="center" vertical="top" wrapText="1"/>
    </xf>
    <xf numFmtId="0" fontId="9" fillId="0" borderId="2" applyAlignment="1" pivotButton="0" quotePrefix="0" xfId="0">
      <alignment vertical="top" wrapText="1"/>
    </xf>
  </cellXfs>
  <cellStyles count="1">
    <cellStyle name="Normal" xfId="0" builtinId="0" hidden="0"/>
  </cellStyles>
  <dxfs count="4">
    <dxf>
      <fill>
        <patternFill patternType="solid">
          <fgColor rgb="00FFEB9C"/>
          <bgColor rgb="00FFEB9C"/>
        </patternFill>
      </fill>
    </dxf>
    <dxf>
      <fill>
        <patternFill patternType="solid">
          <fgColor rgb="00FFC7CE"/>
          <bgColor rgb="00FFC7CE"/>
        </patternFill>
      </fill>
    </dxf>
    <dxf>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F4C3A"/>
    <outlinePr summaryBelow="1" summaryRight="1"/>
    <pageSetUpPr fitToPage="1"/>
  </sheetPr>
  <dimension ref="A1:C29"/>
  <sheetViews>
    <sheetView showGridLines="0" workbookViewId="0">
      <selection activeCell="A1" sqref="A1"/>
    </sheetView>
  </sheetViews>
  <sheetFormatPr baseColWidth="8" defaultRowHeight="15"/>
  <cols>
    <col width="4" customWidth="1" min="1" max="1"/>
    <col width="34" customWidth="1" min="2" max="2"/>
    <col width="92" customWidth="1" min="3" max="3"/>
  </cols>
  <sheetData>
    <row r="1" ht="26" customHeight="1">
      <c r="A1" s="1" t="inlineStr">
        <is>
          <t>Tax planning model: Tekeze Industrial Group PLC (sample)</t>
        </is>
      </c>
      <c r="B1" s="2" t="n"/>
      <c r="C1" s="2" t="n"/>
    </row>
    <row r="2" ht="33" customHeight="1">
      <c r="A2" s="3" t="inlineStr">
        <is>
          <t>Course: Taxation Fundamentals for Ethiopian Businesses: Strategic Tax Management (Level 3, tax-l3, Executive Certificate). Used for the capstone project "Tax strategy and tax due diligence report for Tekeze Industrial Group".</t>
        </is>
      </c>
    </row>
    <row r="3" ht="48" customHeight="1">
      <c r="A3" s="4" t="inlineStr">
        <is>
          <t>Purpose: a working model for the capstone: a tax health check and risk register, debt versus equity and lease versus buy after tax with the MAT test, an incentive comparison under Regulation No. 586/2026, a transfer pricing checklist and an acquisition tax due diligence. Every saving is tested against the minimum alternative tax (MAT) before it counts.</t>
        </is>
      </c>
    </row>
    <row r="4" ht="48" customHeight="1">
      <c r="A4" s="4" t="inlineStr">
        <is>
          <t>Sample data is fictional: Tekeze Industrial Group PLC (Bole, Addis Ababa), Tekeze Foods PLC (Adama), Tekeze Packaging PLC (Hawassa Industrial Park, holiday under Regulation No. 517/2022 to 7 July 2028), Tekeze Logistics PLC (Modjo), Tekeze Agro-Processing PLC, Tekeze Trading FZE (Dubai) and the target Ziway Edible Oil PLC (Batu) are invented for teaching. Tax year 2025/26 ended 7 July 2026. Banks appear only as "Bank A".</t>
        </is>
      </c>
    </row>
    <row r="5" ht="33" customHeight="1">
      <c r="A5" s="4" t="inlineStr">
        <is>
          <t>Figures marked Confirm on the Rates and Assumptions sheet were not confirmed in the law for the course. Check them with the Ministry of Revenues or a tax adviser before relying on any result that uses them.</t>
        </is>
      </c>
    </row>
    <row r="6" ht="33" customHeight="1">
      <c r="A6" s="4" t="inlineStr">
        <is>
          <t>Cell colors: light yellow cells are inputs you replace with your own data. Unshaded cells hold formulas that calculate automatically; do not type over them. Drop-down lists control the fixed choices.</t>
        </is>
      </c>
    </row>
    <row r="7">
      <c r="A7" s="4" t="inlineStr">
        <is>
          <t>Rates and thresholds reflect the course's sources as of October 2026. Check them against current Ministry of Revenues guidance before filing.</t>
        </is>
      </c>
    </row>
    <row r="8"/>
    <row r="9">
      <c r="A9" s="5" t="inlineStr">
        <is>
          <t>How to use each sheet</t>
        </is>
      </c>
    </row>
    <row r="10" ht="20" customHeight="1">
      <c r="A10" s="6" t="inlineStr"/>
      <c r="B10" s="6" t="inlineStr">
        <is>
          <t>Sheet</t>
        </is>
      </c>
      <c r="C10" s="6" t="inlineStr">
        <is>
          <t>How to use it</t>
        </is>
      </c>
    </row>
    <row r="11" ht="33" customHeight="1">
      <c r="A11" s="7" t="n"/>
      <c r="B11" s="8" t="inlineStr">
        <is>
          <t>Rates and Assumptions</t>
        </is>
      </c>
      <c r="C11" s="9" t="inlineStr">
        <is>
          <t>Every rate, threshold and weight the formulas use, as named cells with a source and a status (Verified or Confirm). Change a value here, never inside a formula.</t>
        </is>
      </c>
    </row>
    <row r="12" ht="48" customHeight="1">
      <c r="A12" s="7" t="n"/>
      <c r="B12" s="8" t="inlineStr">
        <is>
          <t>Health Check and Risk Register</t>
        </is>
      </c>
      <c r="C12" s="9" t="inlineStr">
        <is>
          <t>Rate each tax area Green, Amber or Red for each company with the evidence; reconcile turnover in the accounts to the VAT returns; list every issue with gross tax, likelihood, weighted amount, owner and deadline, and add late-payment interest where relevant.</t>
        </is>
      </c>
    </row>
    <row r="13" ht="48" customHeight="1">
      <c r="A13" s="7" t="n"/>
      <c r="B13" s="8" t="inlineStr">
        <is>
          <t>Debt vs Equity</t>
        </is>
      </c>
      <c r="C13" s="9" t="inlineStr">
        <is>
          <t>Compare a bank loan, a related-party loan and equity after tax, with the interest rate cap, the MAT test, withholding on interest to a non-resident and the share-acquisition rule. Block B tests the distribution plan for undistributed profit tax.</t>
        </is>
      </c>
    </row>
    <row r="14" ht="33" customHeight="1">
      <c r="A14" s="7" t="n"/>
      <c r="B14" s="8" t="inlineStr">
        <is>
          <t>Lease vs Buy</t>
        </is>
      </c>
      <c r="C14" s="9" t="inlineStr">
        <is>
          <t>Year-by-year deductions and tax shields for buying with a loan, hire purchase and an operating lease, the MAT test on each year's cash saving and the NPV of after-tax cash flows.</t>
        </is>
      </c>
    </row>
    <row r="15" ht="33" customHeight="1">
      <c r="A15" s="7" t="n"/>
      <c r="B15" s="8" t="inlineStr">
        <is>
          <t>Incentive Comparison</t>
        </is>
      </c>
      <c r="C15" s="9" t="inlineStr">
        <is>
          <t>Choose an incentive route and model ten years of tax with MAT as the floor; check eligibility; test the Packaging election and the performance agreement targets.</t>
        </is>
      </c>
    </row>
    <row r="16" ht="33" customHeight="1">
      <c r="A16" s="7" t="n"/>
      <c r="B16" s="8" t="inlineStr">
        <is>
          <t>Transfer Pricing Checklist</t>
        </is>
      </c>
      <c r="C16" s="9" t="inlineStr">
        <is>
          <t>Related-party transactions against arm's length amounts with the tax and withholding effect, and the documentation checklist with a completion %.</t>
        </is>
      </c>
    </row>
    <row r="17">
      <c r="A17" s="7" t="n"/>
      <c r="B17" s="8" t="inlineStr">
        <is>
          <t>Acquisition Due Diligence</t>
        </is>
      </c>
      <c r="C17" s="9" t="inlineStr">
        <is>
          <t>Checklist by tax, share deal versus asset deal after tax, and the protection plan for each exposure.</t>
        </is>
      </c>
    </row>
    <row r="18"/>
    <row r="19">
      <c r="A19" s="5" t="inlineStr">
        <is>
          <t>Rules for every plan</t>
        </is>
      </c>
    </row>
    <row r="20">
      <c r="A20" s="4" t="inlineStr">
        <is>
          <t>Tax planning must have substance, contemporaneous documents and a business purpose.</t>
        </is>
      </c>
    </row>
    <row r="21">
      <c r="A21" s="4" t="inlineStr">
        <is>
          <t>Run the MAT test before counting any saving: tax payable is the higher of regular tax and 2.5% of turnover, applied after any incentive.</t>
        </is>
      </c>
    </row>
    <row r="22" ht="33" customHeight="1">
      <c r="A22" s="4" t="inlineStr">
        <is>
          <t>Never use fake invoices, split contracts or back-dated documents. Managers and finance heads are presumed liable under Tax Administration (Amendment) Proclamation No. 1434/2026.</t>
        </is>
      </c>
    </row>
    <row r="23">
      <c r="A23" s="4" t="inlineStr">
        <is>
          <t>No macros are used. Your own company's tax policy and written professional advice on your specific facts always come first.</t>
        </is>
      </c>
    </row>
    <row r="24"/>
    <row r="25">
      <c r="A25" s="5" t="inlineStr">
        <is>
          <t>Clearing the sample data</t>
        </is>
      </c>
    </row>
    <row r="26" ht="33" customHeight="1">
      <c r="A26" s="4" t="inlineStr">
        <is>
          <t>Select the light yellow cells on each sheet and press Delete, or type over them. Formulas show zero or blank until you enter new data. Do not delete the unshaded formula cells, the rates sheet or the headers.</t>
        </is>
      </c>
    </row>
    <row r="27"/>
    <row r="28" ht="32" customHeight="1">
      <c r="A28" s="10" t="inlineStr">
        <is>
          <t>Legal tax minimization only. Figures marked 'confirm' must be checked with the Ministry of Revenues or a tax adviser before use.</t>
        </is>
      </c>
      <c r="B28" s="11" t="n"/>
      <c r="C28" s="11" t="n"/>
    </row>
    <row r="29" ht="22" customHeight="1">
      <c r="A29" s="12" t="inlineStr">
        <is>
          <t>Investopia Academy · A platform by Erudite Africa Investments PLC · investopia.et</t>
        </is>
      </c>
      <c r="B29" s="11" t="n"/>
      <c r="C29" s="11" t="n"/>
    </row>
  </sheetData>
  <mergeCells count="13">
    <mergeCell ref="A28:C28"/>
    <mergeCell ref="A5:C5"/>
    <mergeCell ref="A23:C23"/>
    <mergeCell ref="A6:C6"/>
    <mergeCell ref="A22:C22"/>
    <mergeCell ref="A3:C3"/>
    <mergeCell ref="A7:C7"/>
    <mergeCell ref="A21:C21"/>
    <mergeCell ref="A26:C26"/>
    <mergeCell ref="A4:C4"/>
    <mergeCell ref="A20:C20"/>
    <mergeCell ref="A2:C2"/>
    <mergeCell ref="A29:C29"/>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2.xml><?xml version="1.0" encoding="utf-8"?>
<worksheet xmlns="http://schemas.openxmlformats.org/spreadsheetml/2006/main">
  <sheetPr>
    <tabColor rgb="000F4C3A"/>
    <outlinePr summaryBelow="1" summaryRight="1"/>
    <pageSetUpPr fitToPage="1"/>
  </sheetPr>
  <dimension ref="A1:E56"/>
  <sheetViews>
    <sheetView showGridLines="0" workbookViewId="0">
      <pane ySplit="4" topLeftCell="A5" activePane="bottomLeft" state="frozen"/>
      <selection pane="bottomLeft" activeCell="A1" sqref="A1"/>
    </sheetView>
  </sheetViews>
  <sheetFormatPr baseColWidth="8" defaultRowHeight="15"/>
  <cols>
    <col width="20" customWidth="1" min="1" max="1"/>
    <col width="52" customWidth="1" min="2" max="2"/>
    <col width="15" customWidth="1" min="3" max="3"/>
    <col width="58" customWidth="1" min="4" max="4"/>
    <col width="11" customWidth="1" min="5" max="5"/>
  </cols>
  <sheetData>
    <row r="1" ht="26" customHeight="1">
      <c r="A1" s="1" t="inlineStr">
        <is>
          <t>Rates and assumptions</t>
        </is>
      </c>
      <c r="B1" s="2" t="n"/>
      <c r="C1" s="2" t="n"/>
      <c r="D1" s="2" t="n"/>
      <c r="E1" s="2" t="n"/>
    </row>
    <row r="2">
      <c r="A2" s="13" t="inlineStr">
        <is>
          <t>Named cells used by every formula. Status Verified means the figure follows the course's sources; Confirm means check it before use.</t>
        </is>
      </c>
    </row>
    <row r="3"/>
    <row r="4" ht="20" customHeight="1">
      <c r="A4" s="6" t="inlineStr">
        <is>
          <t>Name</t>
        </is>
      </c>
      <c r="B4" s="6" t="inlineStr">
        <is>
          <t>Assumption</t>
        </is>
      </c>
      <c r="C4" s="6" t="inlineStr">
        <is>
          <t>Value</t>
        </is>
      </c>
      <c r="D4" s="6" t="inlineStr">
        <is>
          <t>Source</t>
        </is>
      </c>
      <c r="E4" s="6" t="inlineStr">
        <is>
          <t>Status</t>
        </is>
      </c>
    </row>
    <row r="5">
      <c r="A5" s="8" t="inlineStr">
        <is>
          <t>CIT_Rate</t>
        </is>
      </c>
      <c r="B5" s="9" t="inlineStr">
        <is>
          <t>Business income tax rate for bodies</t>
        </is>
      </c>
      <c r="C5" s="14" t="n">
        <v>0.3</v>
      </c>
      <c r="D5" s="9" t="inlineStr">
        <is>
          <t>Income Tax Proclamation No. 979/2016 as amended by No. 1395/2025</t>
        </is>
      </c>
      <c r="E5" s="15" t="inlineStr">
        <is>
          <t>Verified</t>
        </is>
      </c>
    </row>
    <row r="6">
      <c r="A6" s="8" t="inlineStr">
        <is>
          <t>MAT_Rate</t>
        </is>
      </c>
      <c r="B6" s="9" t="inlineStr">
        <is>
          <t>Minimum alternative tax, % of turnover</t>
        </is>
      </c>
      <c r="C6" s="16" t="n">
        <v>0.025</v>
      </c>
      <c r="D6" s="9" t="inlineStr">
        <is>
          <t>No. 1395/2025, per firm summaries</t>
        </is>
      </c>
      <c r="E6" s="15" t="inlineStr">
        <is>
          <t>Verified</t>
        </is>
      </c>
    </row>
    <row r="7">
      <c r="A7" s="8" t="inlineStr">
        <is>
          <t>MAT_CreditYears</t>
        </is>
      </c>
      <c r="B7" s="9" t="inlineStr">
        <is>
          <t>Years MAT above regular tax can be credited</t>
        </is>
      </c>
      <c r="C7" s="17" t="n">
        <v>5</v>
      </c>
      <c r="D7" s="9" t="inlineStr">
        <is>
          <t>Per firm summaries</t>
        </is>
      </c>
      <c r="E7" s="15" t="inlineStr">
        <is>
          <t>Verified</t>
        </is>
      </c>
    </row>
    <row r="8" ht="33" customHeight="1">
      <c r="A8" s="8" t="inlineStr">
        <is>
          <t>Div_WHT</t>
        </is>
      </c>
      <c r="B8" s="9" t="inlineStr">
        <is>
          <t>Dividend withholding</t>
        </is>
      </c>
      <c r="C8" s="14" t="n">
        <v>0.15</v>
      </c>
      <c r="D8" s="9" t="inlineStr">
        <is>
          <t>No. 1395/2025; exempt for a company holding 12.5% or more (per firm summaries)</t>
        </is>
      </c>
      <c r="E8" s="15" t="inlineStr">
        <is>
          <t>Verified</t>
        </is>
      </c>
    </row>
    <row r="9" ht="33" customHeight="1">
      <c r="A9" s="8" t="inlineStr">
        <is>
          <t>UPT_Rate</t>
        </is>
      </c>
      <c r="B9" s="9" t="inlineStr">
        <is>
          <t>Undistributed profit tax (not distributed or capitalized within 12 months after year-end)</t>
        </is>
      </c>
      <c r="C9" s="14" t="n">
        <v>0.15</v>
      </c>
      <c r="D9" s="9" t="inlineStr">
        <is>
          <t>No. 1395/2025</t>
        </is>
      </c>
      <c r="E9" s="15" t="inlineStr">
        <is>
          <t>Verified</t>
        </is>
      </c>
    </row>
    <row r="10">
      <c r="A10" s="8" t="inlineStr">
        <is>
          <t>Int_WHT</t>
        </is>
      </c>
      <c r="B10" s="9" t="inlineStr">
        <is>
          <t>Withholding on interest</t>
        </is>
      </c>
      <c r="C10" s="14" t="n">
        <v>0.1</v>
      </c>
      <c r="D10" s="9" t="inlineStr">
        <is>
          <t>No. 1395/2025, per firm summaries</t>
        </is>
      </c>
      <c r="E10" s="15" t="inlineStr">
        <is>
          <t>Verified</t>
        </is>
      </c>
    </row>
    <row r="11">
      <c r="A11" s="8" t="inlineStr">
        <is>
          <t>Fee_WHT_NR</t>
        </is>
      </c>
      <c r="B11" s="9" t="inlineStr">
        <is>
          <t>Management and technical fees to non-residents</t>
        </is>
      </c>
      <c r="C11" s="14" t="n">
        <v>0.15</v>
      </c>
      <c r="D11" s="9" t="inlineStr">
        <is>
          <t>No. 1395/2025</t>
        </is>
      </c>
      <c r="E11" s="15" t="inlineStr">
        <is>
          <t>Verified</t>
        </is>
      </c>
    </row>
    <row r="12">
      <c r="A12" s="8" t="inlineStr">
        <is>
          <t>Roy_WHT</t>
        </is>
      </c>
      <c r="B12" s="9" t="inlineStr">
        <is>
          <t>Withholding on royalties</t>
        </is>
      </c>
      <c r="C12" s="14" t="n">
        <v>0.1</v>
      </c>
      <c r="D12" s="9" t="inlineStr">
        <is>
          <t>No. 1395/2025</t>
        </is>
      </c>
      <c r="E12" s="15" t="inlineStr">
        <is>
          <t>Verified</t>
        </is>
      </c>
    </row>
    <row r="13" ht="33" customHeight="1">
      <c r="A13" s="8" t="inlineStr">
        <is>
          <t>Dom_WHT</t>
        </is>
      </c>
      <c r="B13" s="9" t="inlineStr">
        <is>
          <t>Domestic withholding (goods above Birr 20,000, services above Birr 10,000)</t>
        </is>
      </c>
      <c r="C13" s="14" t="n">
        <v>0.03</v>
      </c>
      <c r="D13" s="9" t="inlineStr">
        <is>
          <t>No. 1395/2025, from 7 August 2025</t>
        </is>
      </c>
      <c r="E13" s="15" t="inlineStr">
        <is>
          <t>Verified</t>
        </is>
      </c>
    </row>
    <row r="14" ht="33" customHeight="1">
      <c r="A14" s="8" t="inlineStr">
        <is>
          <t>NoTIN_WHT</t>
        </is>
      </c>
      <c r="B14" s="9" t="inlineStr">
        <is>
          <t>Withholding where the supplier has no TIN or business license</t>
        </is>
      </c>
      <c r="C14" s="14" t="n">
        <v>0.3</v>
      </c>
      <c r="D14" s="9" t="inlineStr">
        <is>
          <t>No. 1395/2025</t>
        </is>
      </c>
      <c r="E14" s="15" t="inlineStr">
        <is>
          <t>Verified</t>
        </is>
      </c>
    </row>
    <row r="15">
      <c r="A15" s="8" t="inlineStr">
        <is>
          <t>VAT_Rate</t>
        </is>
      </c>
      <c r="B15" s="9" t="inlineStr">
        <is>
          <t>VAT standard rate</t>
        </is>
      </c>
      <c r="C15" s="14" t="n">
        <v>0.15</v>
      </c>
      <c r="D15" s="9" t="inlineStr">
        <is>
          <t>VAT Proclamation No. 1341/2024</t>
        </is>
      </c>
      <c r="E15" s="15" t="inlineStr">
        <is>
          <t>Verified</t>
        </is>
      </c>
    </row>
    <row r="16">
      <c r="A16" s="8" t="inlineStr">
        <is>
          <t>CashLimit</t>
        </is>
      </c>
      <c r="B16" s="9" t="inlineStr">
        <is>
          <t>Cash payment limit outside the bank (Birr)</t>
        </is>
      </c>
      <c r="C16" s="18" t="n">
        <v>50000</v>
      </c>
      <c r="D16" s="9" t="inlineStr">
        <is>
          <t>No. 1395/2025</t>
        </is>
      </c>
      <c r="E16" s="15" t="inlineStr">
        <is>
          <t>Verified</t>
        </is>
      </c>
    </row>
    <row r="17" ht="33" customHeight="1">
      <c r="A17" s="8" t="inlineStr">
        <is>
          <t>RefRate</t>
        </is>
      </c>
      <c r="B17" s="9" t="inlineStr">
        <is>
          <t>Reference lending rate (illustrative input)</t>
        </is>
      </c>
      <c r="C17" s="14" t="n">
        <v>0.15</v>
      </c>
      <c r="D17" s="9" t="inlineStr">
        <is>
          <t>Input for the example; use the current NBE and commercial bank rate</t>
        </is>
      </c>
      <c r="E17" s="15" t="inlineStr">
        <is>
          <t>Confirm</t>
        </is>
      </c>
    </row>
    <row r="18" ht="33" customHeight="1">
      <c r="A18" s="8" t="inlineStr">
        <is>
          <t>RateCapMargin</t>
        </is>
      </c>
      <c r="B18" s="9" t="inlineStr">
        <is>
          <t>Interest deductible up to the reference rate plus this margin</t>
        </is>
      </c>
      <c r="C18" s="14" t="n">
        <v>0.02</v>
      </c>
      <c r="D18" s="9" t="inlineStr">
        <is>
          <t>No. 1395/2025, per PwC; not for NBE-recognized lenders</t>
        </is>
      </c>
      <c r="E18" s="15" t="inlineStr">
        <is>
          <t>Verified</t>
        </is>
      </c>
    </row>
    <row r="19">
      <c r="A19" s="8" t="inlineStr">
        <is>
          <t>CGT_Shares_Low</t>
        </is>
      </c>
      <c r="B19" s="9" t="inlineStr">
        <is>
          <t>Capital gains tax on shares, lower reading</t>
        </is>
      </c>
      <c r="C19" s="14" t="n">
        <v>0.15</v>
      </c>
      <c r="D19" s="9" t="inlineStr">
        <is>
          <t>Most firm summaries (sources differ)</t>
        </is>
      </c>
      <c r="E19" s="15" t="inlineStr">
        <is>
          <t>Confirm</t>
        </is>
      </c>
    </row>
    <row r="20">
      <c r="A20" s="8" t="inlineStr">
        <is>
          <t>CGT_Shares_High</t>
        </is>
      </c>
      <c r="B20" s="9" t="inlineStr">
        <is>
          <t>Capital gains tax on shares, higher reading</t>
        </is>
      </c>
      <c r="C20" s="14" t="n">
        <v>0.3</v>
      </c>
      <c r="D20" s="9" t="inlineStr">
        <is>
          <t>KPMG and the old law (sources differ)</t>
        </is>
      </c>
      <c r="E20" s="15" t="inlineStr">
        <is>
          <t>Confirm</t>
        </is>
      </c>
    </row>
    <row r="21">
      <c r="A21" s="8" t="inlineStr">
        <is>
          <t>StampDuty_Title</t>
        </is>
      </c>
      <c r="B21" s="9" t="inlineStr">
        <is>
          <t>Stamp duty on registration of title to property</t>
        </is>
      </c>
      <c r="C21" s="14" t="n">
        <v>0.02</v>
      </c>
      <c r="D21" s="9" t="inlineStr">
        <is>
          <t>Per PwC</t>
        </is>
      </c>
      <c r="E21" s="15" t="inlineStr">
        <is>
          <t>Verified</t>
        </is>
      </c>
    </row>
    <row r="22">
      <c r="A22" s="8" t="inlineStr">
        <is>
          <t>StampDuty_Lease</t>
        </is>
      </c>
      <c r="B22" s="9" t="inlineStr">
        <is>
          <t>Stamp duty on leases</t>
        </is>
      </c>
      <c r="C22" s="16" t="n">
        <v>0.005</v>
      </c>
      <c r="D22" s="9" t="inlineStr">
        <is>
          <t>Per PwC</t>
        </is>
      </c>
      <c r="E22" s="15" t="inlineStr">
        <is>
          <t>Verified</t>
        </is>
      </c>
    </row>
    <row r="23">
      <c r="A23" s="8" t="inlineStr">
        <is>
          <t>PE_Days</t>
        </is>
      </c>
      <c r="B23" s="9" t="inlineStr">
        <is>
          <t>Days for a service or construction permanent establishment</t>
        </is>
      </c>
      <c r="C23" s="17" t="n">
        <v>91</v>
      </c>
      <c r="D23" s="9" t="inlineStr">
        <is>
          <t>No. 1395/2025</t>
        </is>
      </c>
      <c r="E23" s="15" t="inlineStr">
        <is>
          <t>Verified</t>
        </is>
      </c>
    </row>
    <row r="24">
      <c r="A24" s="8" t="inlineStr">
        <is>
          <t>Incentive_MinUSD</t>
        </is>
      </c>
      <c r="B24" s="9" t="inlineStr">
        <is>
          <t>Minimum investment for reduced income tax rates (USD)</t>
        </is>
      </c>
      <c r="C24" s="19" t="n">
        <v>10000000</v>
      </c>
      <c r="D24" s="9" t="inlineStr">
        <is>
          <t>Regulation No. 586/2026, Art. 7(2), per firm summaries</t>
        </is>
      </c>
      <c r="E24" s="15" t="inlineStr">
        <is>
          <t>Verified</t>
        </is>
      </c>
    </row>
    <row r="25" ht="33" customHeight="1">
      <c r="A25" s="8" t="inlineStr">
        <is>
          <t>CapDeduction_MinUSD</t>
        </is>
      </c>
      <c r="B25" s="9" t="inlineStr">
        <is>
          <t>Minimum investment for the 50% capital goods deduction (USD)</t>
        </is>
      </c>
      <c r="C25" s="19" t="n">
        <v>2000000</v>
      </c>
      <c r="D25" s="9" t="inlineStr">
        <is>
          <t>Regulation No. 586/2026, Art. 14, per firm summaries</t>
        </is>
      </c>
      <c r="E25" s="15" t="inlineStr">
        <is>
          <t>Verified</t>
        </is>
      </c>
    </row>
    <row r="26" ht="33" customHeight="1">
      <c r="A26" s="8" t="inlineStr">
        <is>
          <t>CapDeduction_Rate</t>
        </is>
      </c>
      <c r="B26" s="9" t="inlineStr">
        <is>
          <t>One-time deduction of eligible capital goods in the start year</t>
        </is>
      </c>
      <c r="C26" s="14" t="n">
        <v>0.5</v>
      </c>
      <c r="D26" s="9" t="inlineStr">
        <is>
          <t>Regulation No. 586/2026, Art. 14, per firm summaries</t>
        </is>
      </c>
      <c r="E26" s="15" t="inlineStr">
        <is>
          <t>Verified</t>
        </is>
      </c>
    </row>
    <row r="27">
      <c r="A27" s="8" t="inlineStr">
        <is>
          <t>Dep_Build</t>
        </is>
      </c>
      <c r="B27" s="9" t="inlineStr">
        <is>
          <t>Depreciation: buildings, straight-line</t>
        </is>
      </c>
      <c r="C27" s="14" t="n">
        <v>0.05</v>
      </c>
      <c r="D27" s="9" t="inlineStr">
        <is>
          <t>Regulation No. 410/2017, per PwC</t>
        </is>
      </c>
      <c r="E27" s="15" t="inlineStr">
        <is>
          <t>Verified</t>
        </is>
      </c>
    </row>
    <row r="28">
      <c r="A28" s="8" t="inlineStr">
        <is>
          <t>Dep_Comp_SL</t>
        </is>
      </c>
      <c r="B28" s="9" t="inlineStr">
        <is>
          <t>Depreciation: computers and software, straight-line</t>
        </is>
      </c>
      <c r="C28" s="14" t="n">
        <v>0.2</v>
      </c>
      <c r="D28" s="9" t="inlineStr">
        <is>
          <t>Regulation No. 410/2017, per PwC</t>
        </is>
      </c>
      <c r="E28" s="15" t="inlineStr">
        <is>
          <t>Verified</t>
        </is>
      </c>
    </row>
    <row r="29">
      <c r="A29" s="8" t="inlineStr">
        <is>
          <t>Dep_Comp_DV</t>
        </is>
      </c>
      <c r="B29" s="9" t="inlineStr">
        <is>
          <t>Depreciation: computers and software, diminishing value</t>
        </is>
      </c>
      <c r="C29" s="14" t="n">
        <v>0.25</v>
      </c>
      <c r="D29" s="9" t="inlineStr">
        <is>
          <t>Regulation No. 410/2017, per PwC</t>
        </is>
      </c>
      <c r="E29" s="15" t="inlineStr">
        <is>
          <t>Verified</t>
        </is>
      </c>
    </row>
    <row r="30" ht="33" customHeight="1">
      <c r="A30" s="8" t="inlineStr">
        <is>
          <t>Dep_Other_SL</t>
        </is>
      </c>
      <c r="B30" s="9" t="inlineStr">
        <is>
          <t>Depreciation: other assets incl. machinery and vehicles, straight-line</t>
        </is>
      </c>
      <c r="C30" s="14" t="n">
        <v>0.15</v>
      </c>
      <c r="D30" s="9" t="inlineStr">
        <is>
          <t>Regulation No. 410/2017, per PwC</t>
        </is>
      </c>
      <c r="E30" s="15" t="inlineStr">
        <is>
          <t>Verified</t>
        </is>
      </c>
    </row>
    <row r="31">
      <c r="A31" s="8" t="inlineStr">
        <is>
          <t>Dep_Other_DV</t>
        </is>
      </c>
      <c r="B31" s="9" t="inlineStr">
        <is>
          <t>Depreciation: other assets, diminishing value</t>
        </is>
      </c>
      <c r="C31" s="14" t="n">
        <v>0.2</v>
      </c>
      <c r="D31" s="9" t="inlineStr">
        <is>
          <t>Regulation No. 410/2017, per PwC</t>
        </is>
      </c>
      <c r="E31" s="15" t="inlineStr">
        <is>
          <t>Verified</t>
        </is>
      </c>
    </row>
    <row r="32">
      <c r="A32" s="8" t="inlineStr">
        <is>
          <t>Dep_Mining_SL</t>
        </is>
      </c>
      <c r="B32" s="9" t="inlineStr">
        <is>
          <t>Depreciation: mining assets, straight-line</t>
        </is>
      </c>
      <c r="C32" s="14" t="n">
        <v>0.25</v>
      </c>
      <c r="D32" s="9" t="inlineStr">
        <is>
          <t>Regulation No. 410/2017, per PwC</t>
        </is>
      </c>
      <c r="E32" s="15" t="inlineStr">
        <is>
          <t>Verified</t>
        </is>
      </c>
    </row>
    <row r="33">
      <c r="A33" s="8" t="inlineStr">
        <is>
          <t>Dep_Mining_DV</t>
        </is>
      </c>
      <c r="B33" s="9" t="inlineStr">
        <is>
          <t>Depreciation: mining assets, diminishing value</t>
        </is>
      </c>
      <c r="C33" s="14" t="n">
        <v>0.3</v>
      </c>
      <c r="D33" s="9" t="inlineStr">
        <is>
          <t>Regulation No. 410/2017, per PwC</t>
        </is>
      </c>
      <c r="E33" s="15" t="inlineStr">
        <is>
          <t>Verified</t>
        </is>
      </c>
    </row>
    <row r="34">
      <c r="A34" s="8" t="inlineStr">
        <is>
          <t>Dep_Intang</t>
        </is>
      </c>
      <c r="B34" s="9" t="inlineStr">
        <is>
          <t>Depreciation: intangibles, straight-line</t>
        </is>
      </c>
      <c r="C34" s="14" t="n">
        <v>0.25</v>
      </c>
      <c r="D34" s="9" t="inlineStr">
        <is>
          <t>Regulation No. 410/2017, per PwC</t>
        </is>
      </c>
      <c r="E34" s="15" t="inlineStr">
        <is>
          <t>Verified</t>
        </is>
      </c>
    </row>
    <row r="35">
      <c r="A35" s="8" t="inlineStr">
        <is>
          <t>Dep_Green</t>
        </is>
      </c>
      <c r="B35" s="9" t="inlineStr">
        <is>
          <t>Depreciation: greenhouses, straight-line</t>
        </is>
      </c>
      <c r="C35" s="14" t="n">
        <v>0.1</v>
      </c>
      <c r="D35" s="9" t="inlineStr">
        <is>
          <t>Regulation No. 410/2017, per PwC</t>
        </is>
      </c>
      <c r="E35" s="15" t="inlineStr">
        <is>
          <t>Verified</t>
        </is>
      </c>
    </row>
    <row r="36">
      <c r="A36" s="8" t="inlineStr">
        <is>
          <t>ThinCap_Ratio</t>
        </is>
      </c>
      <c r="B36" s="9" t="inlineStr">
        <is>
          <t>Thin capitalization ratio (debt to equity)</t>
        </is>
      </c>
      <c r="C36" s="20" t="n"/>
      <c r="D36" s="9" t="inlineStr">
        <is>
          <t>Not confirmed for the course</t>
        </is>
      </c>
      <c r="E36" s="15" t="inlineStr">
        <is>
          <t>Confirm</t>
        </is>
      </c>
    </row>
    <row r="37" ht="33" customHeight="1">
      <c r="A37" s="8" t="inlineStr">
        <is>
          <t>Late_Int_Add</t>
        </is>
      </c>
      <c r="B37" s="9" t="inlineStr">
        <is>
          <t>Late payment interest: added to the highest commercial lending rate of the previous quarter</t>
        </is>
      </c>
      <c r="C37" s="14" t="n">
        <v>0.15</v>
      </c>
      <c r="D37" s="9" t="inlineStr">
        <is>
          <t>Proclamation No. 983/2016, Art. 37 (simple interest, daily)</t>
        </is>
      </c>
      <c r="E37" s="15" t="inlineStr">
        <is>
          <t>Verified</t>
        </is>
      </c>
    </row>
    <row r="38" ht="33" customHeight="1">
      <c r="A38" s="8" t="inlineStr">
        <is>
          <t>TP_Scope</t>
        </is>
      </c>
      <c r="B38" s="9" t="inlineStr">
        <is>
          <t>Transfer pricing scope: annual turnover of related persons above (Birr)</t>
        </is>
      </c>
      <c r="C38" s="18" t="n">
        <v>500000</v>
      </c>
      <c r="D38" s="9" t="inlineStr">
        <is>
          <t>Directive No. 981/2024</t>
        </is>
      </c>
      <c r="E38" s="15" t="inlineStr">
        <is>
          <t>Verified</t>
        </is>
      </c>
    </row>
    <row r="39">
      <c r="A39" s="8" t="inlineStr">
        <is>
          <t>Reassess_Years</t>
        </is>
      </c>
      <c r="B39" s="9" t="inlineStr">
        <is>
          <t>Normal reassessment period (years; 10 for fraud)</t>
        </is>
      </c>
      <c r="C39" s="17" t="n">
        <v>5</v>
      </c>
      <c r="D39" s="9" t="inlineStr">
        <is>
          <t>Proclamation No. 983/2016 as amended by No. 1434/2026</t>
        </is>
      </c>
      <c r="E39" s="15" t="inlineStr">
        <is>
          <t>Verified</t>
        </is>
      </c>
    </row>
    <row r="40"/>
    <row r="41">
      <c r="A41" s="5" t="inlineStr">
        <is>
          <t>Likelihood weights</t>
        </is>
      </c>
    </row>
    <row r="42" ht="20" customHeight="1">
      <c r="A42" s="6" t="inlineStr">
        <is>
          <t>Likelihood</t>
        </is>
      </c>
      <c r="B42" s="6" t="inlineStr">
        <is>
          <t>Weight</t>
        </is>
      </c>
    </row>
    <row r="43">
      <c r="A43" s="8" t="inlineStr">
        <is>
          <t>High</t>
        </is>
      </c>
      <c r="B43" s="14" t="n">
        <v>0.8</v>
      </c>
    </row>
    <row r="44">
      <c r="A44" s="8" t="inlineStr">
        <is>
          <t>Medium</t>
        </is>
      </c>
      <c r="B44" s="14" t="n">
        <v>0.5</v>
      </c>
    </row>
    <row r="45">
      <c r="A45" s="8" t="inlineStr">
        <is>
          <t>Low</t>
        </is>
      </c>
      <c r="B45" s="14" t="n">
        <v>0.2</v>
      </c>
    </row>
    <row r="46"/>
    <row r="47">
      <c r="A47" s="5" t="inlineStr">
        <is>
          <t>Incentive routes (Regulation No. 586/2026)</t>
        </is>
      </c>
    </row>
    <row r="48" ht="20" customHeight="1">
      <c r="A48" s="6" t="inlineStr">
        <is>
          <t>Route</t>
        </is>
      </c>
      <c r="B48" s="6" t="inlineStr">
        <is>
          <t>Income tax rate</t>
        </is>
      </c>
      <c r="C48" s="6" t="inlineStr">
        <is>
          <t>MAT exempt?</t>
        </is>
      </c>
      <c r="D48" s="6" t="inlineStr">
        <is>
          <t>Note</t>
        </is>
      </c>
      <c r="E48" s="6" t="inlineStr"/>
    </row>
    <row r="49">
      <c r="A49" s="8" t="inlineStr">
        <is>
          <t>Standard 30%</t>
        </is>
      </c>
      <c r="B49" s="21">
        <f>CIT_Rate</f>
        <v/>
      </c>
      <c r="C49" s="15" t="inlineStr">
        <is>
          <t>No</t>
        </is>
      </c>
      <c r="D49" s="9" t="inlineStr">
        <is>
          <t>No incentive</t>
        </is>
      </c>
    </row>
    <row r="50">
      <c r="A50" s="8" t="inlineStr">
        <is>
          <t>15% priority sector</t>
        </is>
      </c>
      <c r="B50" s="14" t="n">
        <v>0.15</v>
      </c>
      <c r="C50" s="15" t="inlineStr">
        <is>
          <t>No</t>
        </is>
      </c>
      <c r="D50" s="9" t="inlineStr">
        <is>
          <t>Table 1 sectors outside SEZs; period per Table 1 (confirm)</t>
        </is>
      </c>
    </row>
    <row r="51">
      <c r="A51" s="8" t="inlineStr">
        <is>
          <t>15% SEZ enterprise</t>
        </is>
      </c>
      <c r="B51" s="14" t="n">
        <v>0.15</v>
      </c>
      <c r="C51" s="15" t="inlineStr">
        <is>
          <t>No</t>
        </is>
      </c>
      <c r="D51" s="9" t="inlineStr">
        <is>
          <t>SEZ enterprises in listed sectors</t>
        </is>
      </c>
    </row>
    <row r="52">
      <c r="A52" s="8" t="inlineStr">
        <is>
          <t>5% SEZ developer</t>
        </is>
      </c>
      <c r="B52" s="14" t="n">
        <v>0.05</v>
      </c>
      <c r="C52" s="15" t="inlineStr">
        <is>
          <t>Yes</t>
        </is>
      </c>
      <c r="D52" s="9" t="inlineStr">
        <is>
          <t>10 years, with a 10-year MAT exemption</t>
        </is>
      </c>
    </row>
    <row r="53">
      <c r="A53" s="8" t="inlineStr">
        <is>
          <t>5% startup</t>
        </is>
      </c>
      <c r="B53" s="14" t="n">
        <v>0.05</v>
      </c>
      <c r="C53" s="15" t="inlineStr">
        <is>
          <t>No</t>
        </is>
      </c>
      <c r="D53" s="9" t="inlineStr">
        <is>
          <t>Recognized startups, 10 years</t>
        </is>
      </c>
    </row>
    <row r="54">
      <c r="A54" s="8" t="inlineStr">
        <is>
          <t>25% newly listed</t>
        </is>
      </c>
      <c r="B54" s="14" t="n">
        <v>0.25</v>
      </c>
      <c r="C54" s="15" t="inlineStr">
        <is>
          <t>No</t>
        </is>
      </c>
      <c r="D54" s="9" t="inlineStr">
        <is>
          <t>Newly listed on the Ethiopian Securities Exchange, 3 years</t>
        </is>
      </c>
    </row>
    <row r="55"/>
    <row r="56">
      <c r="A56" s="10" t="inlineStr">
        <is>
          <t>Legal tax minimization only. Figures marked 'confirm' must be checked with the Ministry of Revenues or a tax adviser before use.</t>
        </is>
      </c>
      <c r="B56" s="11" t="n"/>
      <c r="C56" s="11" t="n"/>
      <c r="D56" s="11" t="n"/>
      <c r="E56" s="11" t="n"/>
    </row>
  </sheetData>
  <mergeCells count="8">
    <mergeCell ref="D52:E52"/>
    <mergeCell ref="A2:E2"/>
    <mergeCell ref="D49:E49"/>
    <mergeCell ref="D51:E51"/>
    <mergeCell ref="D54:E54"/>
    <mergeCell ref="D50:E50"/>
    <mergeCell ref="A56:E56"/>
    <mergeCell ref="D53:E53"/>
  </mergeCells>
  <conditionalFormatting sqref="E5:E39">
    <cfRule type="cellIs" priority="1" operator="equal" dxfId="0">
      <formula>"Confirm"</formula>
    </cfRule>
  </conditionalFormatting>
  <dataValidations count="1">
    <dataValidation sqref="E5:E39" showDropDown="0" showInputMessage="0" showErrorMessage="0" allowBlank="1" errorTitle="Invalid entry" error="Choose a value from the list." type="list">
      <formula1>"Verified,Confirm"</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3.xml><?xml version="1.0" encoding="utf-8"?>
<worksheet xmlns="http://schemas.openxmlformats.org/spreadsheetml/2006/main">
  <sheetPr>
    <tabColor rgb="000F4C3A"/>
    <outlinePr summaryBelow="1" summaryRight="1"/>
    <pageSetUpPr fitToPage="1"/>
  </sheetPr>
  <dimension ref="A1:P49"/>
  <sheetViews>
    <sheetView showGridLines="0" workbookViewId="0">
      <pane ySplit="3" topLeftCell="A4" activePane="bottomLeft" state="frozen"/>
      <selection pane="bottomLeft" activeCell="A1" sqref="A1"/>
    </sheetView>
  </sheetViews>
  <sheetFormatPr baseColWidth="8" defaultRowHeight="15"/>
  <cols>
    <col width="6" customWidth="1" min="1" max="1"/>
    <col width="16" customWidth="1" min="2" max="2"/>
    <col width="40" customWidth="1" min="3" max="3"/>
    <col width="16" customWidth="1" min="4" max="4"/>
    <col width="16" customWidth="1" min="5" max="5"/>
    <col width="12" customWidth="1" min="6" max="6"/>
    <col width="11" customWidth="1" min="7" max="7"/>
    <col width="16" customWidth="1" min="8" max="8"/>
    <col width="28" customWidth="1" min="9" max="9"/>
    <col width="28" customWidth="1" min="10" max="10"/>
    <col width="16" customWidth="1" min="11" max="11"/>
    <col width="14" customWidth="1" min="12" max="12"/>
    <col width="10" customWidth="1" min="13" max="13"/>
    <col width="9" customWidth="1" min="14" max="14"/>
    <col width="14" customWidth="1" min="15" max="15"/>
    <col width="14" customWidth="1" min="16" max="16"/>
  </cols>
  <sheetData>
    <row r="1" ht="26" customHeight="1">
      <c r="A1" s="1" t="inlineStr">
        <is>
          <t>Health check and risk register</t>
        </is>
      </c>
      <c r="B1" s="2" t="n"/>
      <c r="C1" s="2" t="n"/>
      <c r="D1" s="2" t="n"/>
      <c r="E1" s="2" t="n"/>
      <c r="F1" s="2" t="n"/>
      <c r="G1" s="2" t="n"/>
      <c r="H1" s="2" t="n"/>
      <c r="I1" s="2" t="n"/>
      <c r="J1" s="2" t="n"/>
      <c r="K1" s="2" t="n"/>
      <c r="L1" s="2" t="n"/>
      <c r="M1" s="2" t="n"/>
      <c r="N1" s="2" t="n"/>
      <c r="O1" s="2" t="n"/>
      <c r="P1" s="2" t="n"/>
    </row>
    <row r="2">
      <c r="A2" s="13" t="inlineStr">
        <is>
          <t>Rate each area for each company, reconcile turnover to the VAT returns, then list every issue with its gross and weighted tax. Yellow cells are inputs.</t>
        </is>
      </c>
    </row>
    <row r="3"/>
    <row r="4">
      <c r="A4" s="5" t="inlineStr">
        <is>
          <t>Block A: health check grid (Green / Amber / Red / n/a)</t>
        </is>
      </c>
    </row>
    <row r="5" ht="33" customHeight="1">
      <c r="A5" s="6" t="inlineStr">
        <is>
          <t>No.</t>
        </is>
      </c>
      <c r="B5" s="6" t="inlineStr">
        <is>
          <t>Tax area</t>
        </is>
      </c>
      <c r="C5" s="22" t="n"/>
      <c r="D5" s="6" t="inlineStr">
        <is>
          <t>Tekeze Foods</t>
        </is>
      </c>
      <c r="E5" s="6" t="inlineStr">
        <is>
          <t>Tekeze Packaging</t>
        </is>
      </c>
      <c r="F5" s="6" t="inlineStr">
        <is>
          <t>Tekeze Logistics</t>
        </is>
      </c>
      <c r="G5" s="6" t="inlineStr">
        <is>
          <t>Holding</t>
        </is>
      </c>
      <c r="H5" s="6" t="inlineStr">
        <is>
          <t>Evidence and fix</t>
        </is>
      </c>
      <c r="I5" s="23" t="n"/>
      <c r="J5" s="23" t="n"/>
      <c r="K5" s="23" t="n"/>
      <c r="L5" s="23" t="n"/>
      <c r="M5" s="23" t="n"/>
      <c r="N5" s="23" t="n"/>
      <c r="O5" s="23" t="n"/>
      <c r="P5" s="22" t="n"/>
    </row>
    <row r="6">
      <c r="A6" s="24" t="n">
        <v>1</v>
      </c>
      <c r="B6" s="8" t="inlineStr">
        <is>
          <t>Income tax and MAT</t>
        </is>
      </c>
      <c r="C6" s="7" t="n"/>
      <c r="D6" s="15" t="inlineStr">
        <is>
          <t>Green</t>
        </is>
      </c>
      <c r="E6" s="15" t="inlineStr">
        <is>
          <t>Amber</t>
        </is>
      </c>
      <c r="F6" s="15" t="inlineStr">
        <is>
          <t>Green</t>
        </is>
      </c>
      <c r="G6" s="15" t="inlineStr">
        <is>
          <t>Green</t>
        </is>
      </c>
      <c r="H6" s="25" t="inlineStr">
        <is>
          <t>Packaging: confirm MAT on the holiday. Logistics pays MAT; MAT tested for all companies.</t>
        </is>
      </c>
    </row>
    <row r="7">
      <c r="A7" s="24" t="n">
        <v>2</v>
      </c>
      <c r="B7" s="8" t="inlineStr">
        <is>
          <t>Advance tax</t>
        </is>
      </c>
      <c r="C7" s="7" t="n"/>
      <c r="D7" s="15" t="inlineStr">
        <is>
          <t>Amber</t>
        </is>
      </c>
      <c r="E7" s="15" t="inlineStr">
        <is>
          <t>Green</t>
        </is>
      </c>
      <c r="F7" s="15" t="inlineStr">
        <is>
          <t>Green</t>
        </is>
      </c>
      <c r="G7" s="15" t="inlineStr">
        <is>
          <t>Green</t>
        </is>
      </c>
      <c r="H7" s="25" t="inlineStr">
        <is>
          <t>Foods: one installment 12 days late; pay the interest and diarize the dates.</t>
        </is>
      </c>
    </row>
    <row r="8">
      <c r="A8" s="24" t="n">
        <v>3</v>
      </c>
      <c r="B8" s="8" t="inlineStr">
        <is>
          <t>Withholding on suppliers</t>
        </is>
      </c>
      <c r="C8" s="7" t="n"/>
      <c r="D8" s="15" t="inlineStr">
        <is>
          <t>Green</t>
        </is>
      </c>
      <c r="E8" s="15" t="inlineStr">
        <is>
          <t>Green</t>
        </is>
      </c>
      <c r="F8" s="15" t="inlineStr">
        <is>
          <t>Red</t>
        </is>
      </c>
      <c r="G8" s="15" t="inlineStr">
        <is>
          <t>Green</t>
        </is>
      </c>
      <c r="H8" s="25" t="inlineStr">
        <is>
          <t>Logistics: 2% and old thresholds until September 2025; correct with the Authority.</t>
        </is>
      </c>
    </row>
    <row r="9">
      <c r="A9" s="24" t="n">
        <v>4</v>
      </c>
      <c r="B9" s="8" t="inlineStr">
        <is>
          <t>PAYE and pension</t>
        </is>
      </c>
      <c r="C9" s="7" t="n"/>
      <c r="D9" s="15" t="inlineStr">
        <is>
          <t>Green</t>
        </is>
      </c>
      <c r="E9" s="15" t="inlineStr">
        <is>
          <t>Green</t>
        </is>
      </c>
      <c r="F9" s="15" t="inlineStr">
        <is>
          <t>Green</t>
        </is>
      </c>
      <c r="G9" s="15" t="inlineStr">
        <is>
          <t>Green</t>
        </is>
      </c>
      <c r="H9" s="25" t="inlineStr">
        <is>
          <t>2025 PAYE table in payroll from Hamle.</t>
        </is>
      </c>
    </row>
    <row r="10">
      <c r="A10" s="24" t="n">
        <v>5</v>
      </c>
      <c r="B10" s="8" t="inlineStr">
        <is>
          <t>VAT</t>
        </is>
      </c>
      <c r="C10" s="7" t="n"/>
      <c r="D10" s="15" t="inlineStr">
        <is>
          <t>Amber</t>
        </is>
      </c>
      <c r="E10" s="15" t="inlineStr">
        <is>
          <t>Green</t>
        </is>
      </c>
      <c r="F10" s="15" t="inlineStr">
        <is>
          <t>Green</t>
        </is>
      </c>
      <c r="G10" s="15" t="inlineStr">
        <is>
          <t>Green</t>
        </is>
      </c>
      <c r="H10" s="25" t="inlineStr">
        <is>
          <t>Foods: input VAT on hotel stays and a passenger car; reverse the claims.</t>
        </is>
      </c>
    </row>
    <row r="11">
      <c r="A11" s="24" t="n">
        <v>6</v>
      </c>
      <c r="B11" s="8" t="inlineStr">
        <is>
          <t>Excise and stamp duty</t>
        </is>
      </c>
      <c r="C11" s="7" t="n"/>
      <c r="D11" s="15" t="n"/>
      <c r="E11" s="15" t="n"/>
      <c r="F11" s="15" t="n"/>
      <c r="G11" s="15" t="n"/>
      <c r="H11" s="25" t="n"/>
    </row>
    <row r="12">
      <c r="A12" s="24" t="n">
        <v>7</v>
      </c>
      <c r="B12" s="8" t="inlineStr">
        <is>
          <t>Transfer pricing</t>
        </is>
      </c>
      <c r="C12" s="7" t="n"/>
      <c r="D12" s="15" t="inlineStr">
        <is>
          <t>Red</t>
        </is>
      </c>
      <c r="E12" s="15" t="inlineStr">
        <is>
          <t>Green</t>
        </is>
      </c>
      <c r="F12" s="15" t="inlineStr">
        <is>
          <t>Amber</t>
        </is>
      </c>
      <c r="G12" s="15" t="inlineStr">
        <is>
          <t>Amber</t>
        </is>
      </c>
      <c r="H12" s="25" t="inlineStr">
        <is>
          <t>Foods: no file for the FZE fee. Logistics: internal freight 15% below list. Holding: group file needed.</t>
        </is>
      </c>
    </row>
    <row r="13">
      <c r="A13" s="24" t="n">
        <v>8</v>
      </c>
      <c r="B13" s="8" t="inlineStr">
        <is>
          <t>Incentive file</t>
        </is>
      </c>
      <c r="C13" s="7" t="n"/>
      <c r="D13" s="15" t="inlineStr">
        <is>
          <t>n/a</t>
        </is>
      </c>
      <c r="E13" s="15" t="inlineStr">
        <is>
          <t>Amber</t>
        </is>
      </c>
      <c r="F13" s="15" t="inlineStr">
        <is>
          <t>n/a</t>
        </is>
      </c>
      <c r="G13" s="15" t="inlineStr">
        <is>
          <t>n/a</t>
        </is>
      </c>
      <c r="H13" s="25" t="inlineStr">
        <is>
          <t>Packaging: performance reports filed late.</t>
        </is>
      </c>
    </row>
    <row r="14">
      <c r="A14" s="24" t="n">
        <v>9</v>
      </c>
      <c r="B14" s="8" t="inlineStr">
        <is>
          <t>Records and e-invoicing readiness</t>
        </is>
      </c>
      <c r="C14" s="7" t="n"/>
      <c r="D14" s="15" t="n"/>
      <c r="E14" s="15" t="n"/>
      <c r="F14" s="15" t="n"/>
      <c r="G14" s="15" t="n"/>
      <c r="H14" s="25" t="n"/>
    </row>
    <row r="15">
      <c r="B15" s="26" t="inlineStr">
        <is>
          <t>Count of Red</t>
        </is>
      </c>
      <c r="C15" s="27" t="n"/>
      <c r="D15" s="28">
        <f>COUNTIF(D6:D14,"Red")</f>
        <v/>
      </c>
      <c r="E15" s="28">
        <f>COUNTIF(E6:E14,"Red")</f>
        <v/>
      </c>
      <c r="F15" s="28">
        <f>COUNTIF(F6:F14,"Red")</f>
        <v/>
      </c>
      <c r="G15" s="28">
        <f>COUNTIF(G6:G14,"Red")</f>
        <v/>
      </c>
    </row>
    <row r="16">
      <c r="B16" s="8" t="inlineStr">
        <is>
          <t>Count of Amber</t>
        </is>
      </c>
      <c r="C16" s="7" t="n"/>
      <c r="D16" s="29">
        <f>COUNTIF(D6:D14,"Amber")</f>
        <v/>
      </c>
      <c r="E16" s="29">
        <f>COUNTIF(E6:E14,"Amber")</f>
        <v/>
      </c>
      <c r="F16" s="29">
        <f>COUNTIF(F6:F14,"Amber")</f>
        <v/>
      </c>
      <c r="G16" s="29">
        <f>COUNTIF(G6:G14,"Amber")</f>
        <v/>
      </c>
    </row>
    <row r="17">
      <c r="B17" s="8" t="inlineStr">
        <is>
          <t>Count of Green</t>
        </is>
      </c>
      <c r="C17" s="7" t="n"/>
      <c r="D17" s="29">
        <f>COUNTIF(D6:D14,"Green")</f>
        <v/>
      </c>
      <c r="E17" s="29">
        <f>COUNTIF(E6:E14,"Green")</f>
        <v/>
      </c>
      <c r="F17" s="29">
        <f>COUNTIF(F6:F14,"Green")</f>
        <v/>
      </c>
      <c r="G17" s="29">
        <f>COUNTIF(G6:G14,"Green")</f>
        <v/>
      </c>
    </row>
    <row r="18"/>
    <row r="19">
      <c r="A19" s="5" t="inlineStr">
        <is>
          <t>Block B: turnover to VAT returns reconciliation (Tekeze Foods, 2025/26)</t>
        </is>
      </c>
    </row>
    <row r="20" ht="20" customHeight="1">
      <c r="A20" s="6" t="inlineStr"/>
      <c r="B20" s="6" t="inlineStr">
        <is>
          <t>Line</t>
        </is>
      </c>
      <c r="C20" s="22" t="n"/>
      <c r="D20" s="6" t="inlineStr">
        <is>
          <t>Birr</t>
        </is>
      </c>
      <c r="E20" s="6" t="inlineStr">
        <is>
          <t>Note</t>
        </is>
      </c>
      <c r="F20" s="23" t="n"/>
      <c r="G20" s="23" t="n"/>
      <c r="H20" s="23" t="n"/>
      <c r="I20" s="23" t="n"/>
      <c r="J20" s="22" t="n"/>
    </row>
    <row r="21">
      <c r="B21" s="8" t="inlineStr">
        <is>
          <t>Turnover per audited accounts</t>
        </is>
      </c>
      <c r="C21" s="7" t="n"/>
      <c r="D21" s="18" t="n">
        <v>1200000000</v>
      </c>
      <c r="E21" s="9" t="inlineStr"/>
    </row>
    <row r="22">
      <c r="B22" s="8" t="inlineStr">
        <is>
          <t>Taxable sales in the 12 VAT returns</t>
        </is>
      </c>
      <c r="C22" s="7" t="n"/>
      <c r="D22" s="18" t="n">
        <v>1182000000</v>
      </c>
      <c r="E22" s="9" t="inlineStr"/>
    </row>
    <row r="23">
      <c r="B23" s="8" t="inlineStr">
        <is>
          <t>Difference = accounts minus returns</t>
        </is>
      </c>
      <c r="C23" s="7" t="n"/>
      <c r="D23" s="30">
        <f>D21-D22</f>
        <v/>
      </c>
      <c r="E23" s="9" t="inlineStr"/>
    </row>
    <row r="24">
      <c r="B24" s="8" t="inlineStr">
        <is>
          <t>Explained: Sene sales declared in the Hamle return (timing)</t>
        </is>
      </c>
      <c r="C24" s="7" t="n"/>
      <c r="D24" s="18" t="n">
        <v>12000000</v>
      </c>
      <c r="E24" s="9" t="inlineStr"/>
    </row>
    <row r="25">
      <c r="B25" s="8" t="inlineStr">
        <is>
          <t>Explained: other item (input)</t>
        </is>
      </c>
      <c r="C25" s="7" t="n"/>
      <c r="D25" s="18" t="n"/>
      <c r="E25" s="9" t="inlineStr"/>
    </row>
    <row r="26">
      <c r="B26" s="8" t="inlineStr">
        <is>
          <t>Unexplained = difference minus explained items</t>
        </is>
      </c>
      <c r="C26" s="7" t="n"/>
      <c r="D26" s="30">
        <f>D23-SUM(D24:D25)</f>
        <v/>
      </c>
      <c r="E26" s="9" t="inlineStr">
        <is>
          <t>Scrap and by-product sales with no VAT invoice</t>
        </is>
      </c>
    </row>
    <row r="27">
      <c r="B27" s="8" t="inlineStr">
        <is>
          <t>Output VAT on the unexplained difference</t>
        </is>
      </c>
      <c r="C27" s="7" t="n"/>
      <c r="D27" s="30">
        <f>ROUND(D26*VAT_Rate,0)</f>
        <v/>
      </c>
      <c r="E27" s="9" t="inlineStr">
        <is>
          <t>Correct the earlier returns and pay with interest</t>
        </is>
      </c>
    </row>
    <row r="28">
      <c r="B28" s="8" t="inlineStr">
        <is>
          <t>Check</t>
        </is>
      </c>
      <c r="C28" s="7" t="n"/>
      <c r="D28" s="31">
        <f>IF(D26=0,"Reconciled","Investigate")</f>
        <v/>
      </c>
      <c r="E28" s="9" t="inlineStr"/>
    </row>
    <row r="29"/>
    <row r="30">
      <c r="A30" s="5" t="inlineStr">
        <is>
          <t>Block C: risk register</t>
        </is>
      </c>
    </row>
    <row r="31">
      <c r="B31" s="8" t="inlineStr">
        <is>
          <t>Highest commercial lending rate of the previous quarter (input, illustrative)</t>
        </is>
      </c>
      <c r="C31" s="23" t="n"/>
      <c r="D31" s="23" t="n"/>
      <c r="E31" s="23" t="n"/>
      <c r="F31" s="23" t="n"/>
      <c r="G31" s="22" t="n"/>
      <c r="H31" s="14" t="n">
        <v>0.18</v>
      </c>
      <c r="I31" s="32" t="inlineStr">
        <is>
          <t>Interest helper: simple interest calculated daily (Proclamation No. 983/2016, Art. 37): days late x gross tax x (this rate + 15%) / 365.</t>
        </is>
      </c>
    </row>
    <row r="32" ht="48" customHeight="1">
      <c r="A32" s="6" t="inlineStr">
        <is>
          <t>No.</t>
        </is>
      </c>
      <c r="B32" s="6" t="inlineStr">
        <is>
          <t>Company</t>
        </is>
      </c>
      <c r="C32" s="6" t="inlineStr">
        <is>
          <t>Issue</t>
        </is>
      </c>
      <c r="D32" s="6" t="inlineStr">
        <is>
          <t>Tax type</t>
        </is>
      </c>
      <c r="E32" s="6" t="inlineStr">
        <is>
          <t>Gross tax (Birr)</t>
        </is>
      </c>
      <c r="F32" s="6" t="inlineStr">
        <is>
          <t>Likelihood</t>
        </is>
      </c>
      <c r="G32" s="6" t="inlineStr">
        <is>
          <t>Weight</t>
        </is>
      </c>
      <c r="H32" s="6" t="inlineStr">
        <is>
          <t>Weighted (Birr)</t>
        </is>
      </c>
      <c r="I32" s="6" t="inlineStr">
        <is>
          <t>Evidence</t>
        </is>
      </c>
      <c r="J32" s="6" t="inlineStr">
        <is>
          <t>Fix or protection</t>
        </is>
      </c>
      <c r="K32" s="6" t="inlineStr">
        <is>
          <t>Owner</t>
        </is>
      </c>
      <c r="L32" s="6" t="inlineStr">
        <is>
          <t>Deadline</t>
        </is>
      </c>
      <c r="M32" s="6" t="inlineStr">
        <is>
          <t>Status</t>
        </is>
      </c>
      <c r="N32" s="6" t="inlineStr">
        <is>
          <t>Days late</t>
        </is>
      </c>
      <c r="O32" s="6" t="inlineStr">
        <is>
          <t>Interest (Birr)</t>
        </is>
      </c>
      <c r="P32" s="6" t="inlineStr">
        <is>
          <t>Penalty (Birr)</t>
        </is>
      </c>
    </row>
    <row r="33" ht="33" customHeight="1">
      <c r="A33" s="24" t="n">
        <v>1</v>
      </c>
      <c r="B33" s="25" t="inlineStr">
        <is>
          <t>Ziway</t>
        </is>
      </c>
      <c r="C33" s="25" t="inlineStr">
        <is>
          <t>Withholding not deducted on supplier payments</t>
        </is>
      </c>
      <c r="D33" s="25" t="inlineStr">
        <is>
          <t>Withholding</t>
        </is>
      </c>
      <c r="E33" s="18" t="n">
        <v>4500000</v>
      </c>
      <c r="F33" s="15" t="inlineStr">
        <is>
          <t>High</t>
        </is>
      </c>
      <c r="G33" s="21">
        <f>IF(F33="","",VLOOKUP(F33,Likelihood,2,FALSE))</f>
        <v/>
      </c>
      <c r="H33" s="33">
        <f>IF(OR(E33="",G33=""),"",ROUND(E33*G33,0))</f>
        <v/>
      </c>
      <c r="I33" s="25" t="inlineStr">
        <is>
          <t>Supplier ledger and payment vouchers</t>
        </is>
      </c>
      <c r="J33" s="25" t="inlineStr">
        <is>
          <t>Corrected returns; specific indemnity</t>
        </is>
      </c>
      <c r="K33" s="25" t="inlineStr">
        <is>
          <t>Ato Yonas Tadesse</t>
        </is>
      </c>
      <c r="L33" s="25" t="inlineStr">
        <is>
          <t>Before closing</t>
        </is>
      </c>
      <c r="M33" s="15" t="inlineStr">
        <is>
          <t>Open</t>
        </is>
      </c>
      <c r="N33" s="17" t="n"/>
      <c r="O33" s="33">
        <f>IF(OR(N33="",E33=""),"",ROUND(N33*E33*($H$31+Late_Int_Add)/365,0))</f>
        <v/>
      </c>
      <c r="P33" s="18" t="n"/>
    </row>
    <row r="34" ht="33" customHeight="1">
      <c r="A34" s="24" t="n">
        <v>2</v>
      </c>
      <c r="B34" s="25" t="inlineStr">
        <is>
          <t>Ziway</t>
        </is>
      </c>
      <c r="C34" s="25" t="inlineStr">
        <is>
          <t>Input VAT on passenger vehicles and hotel stays</t>
        </is>
      </c>
      <c r="D34" s="25" t="inlineStr">
        <is>
          <t>VAT</t>
        </is>
      </c>
      <c r="E34" s="18" t="n">
        <v>2400000</v>
      </c>
      <c r="F34" s="15" t="inlineStr">
        <is>
          <t>High</t>
        </is>
      </c>
      <c r="G34" s="21">
        <f>IF(F34="","",VLOOKUP(F34,Likelihood,2,FALSE))</f>
        <v/>
      </c>
      <c r="H34" s="33">
        <f>IF(OR(E34="",G34=""),"",ROUND(E34*G34,0))</f>
        <v/>
      </c>
      <c r="I34" s="25" t="inlineStr">
        <is>
          <t>VAT returns and invoices</t>
        </is>
      </c>
      <c r="J34" s="25" t="inlineStr">
        <is>
          <t>Reverse the claims; specific indemnity</t>
        </is>
      </c>
      <c r="K34" s="25" t="inlineStr">
        <is>
          <t>Ato Yonas Tadesse</t>
        </is>
      </c>
      <c r="L34" s="25" t="inlineStr">
        <is>
          <t>Before closing</t>
        </is>
      </c>
      <c r="M34" s="15" t="inlineStr">
        <is>
          <t>Open</t>
        </is>
      </c>
      <c r="N34" s="17" t="n"/>
      <c r="O34" s="33">
        <f>IF(OR(N34="",E34=""),"",ROUND(N34*E34*($H$31+Late_Int_Add)/365,0))</f>
        <v/>
      </c>
      <c r="P34" s="18" t="n"/>
    </row>
    <row r="35" ht="33" customHeight="1">
      <c r="A35" s="24" t="n">
        <v>3</v>
      </c>
      <c r="B35" s="25" t="inlineStr">
        <is>
          <t>Ziway</t>
        </is>
      </c>
      <c r="C35" s="25" t="inlineStr">
        <is>
          <t>Cash payments above Birr 50,000 in 2025/26 (Birr 38,000,000 not deductible)</t>
        </is>
      </c>
      <c r="D35" s="25" t="inlineStr">
        <is>
          <t>Income tax</t>
        </is>
      </c>
      <c r="E35" s="18">
        <f>ROUND(38000000*CIT_Rate,0)</f>
        <v/>
      </c>
      <c r="F35" s="15" t="inlineStr">
        <is>
          <t>High</t>
        </is>
      </c>
      <c r="G35" s="21">
        <f>IF(F35="","",VLOOKUP(F35,Likelihood,2,FALSE))</f>
        <v/>
      </c>
      <c r="H35" s="33">
        <f>IF(OR(E35="",G35=""),"",ROUND(E35*G35,0))</f>
        <v/>
      </c>
      <c r="I35" s="25" t="inlineStr">
        <is>
          <t>Bank and cash books</t>
        </is>
      </c>
      <c r="J35" s="25" t="inlineStr">
        <is>
          <t>Price reduction</t>
        </is>
      </c>
      <c r="K35" s="25" t="inlineStr">
        <is>
          <t>Wro. Selamawit Haile</t>
        </is>
      </c>
      <c r="L35" s="25" t="inlineStr">
        <is>
          <t>Before closing</t>
        </is>
      </c>
      <c r="M35" s="15" t="inlineStr">
        <is>
          <t>Open</t>
        </is>
      </c>
      <c r="N35" s="17" t="n"/>
      <c r="O35" s="33">
        <f>IF(OR(N35="",E35=""),"",ROUND(N35*E35*($H$31+Late_Int_Add)/365,0))</f>
        <v/>
      </c>
      <c r="P35" s="18" t="n"/>
    </row>
    <row r="36" ht="33" customHeight="1">
      <c r="A36" s="24" t="n">
        <v>4</v>
      </c>
      <c r="B36" s="25" t="inlineStr">
        <is>
          <t>Ziway</t>
        </is>
      </c>
      <c r="C36" s="25" t="inlineStr">
        <is>
          <t>Oil seed from owner's farm above market (Birr 20,000,000 excess)</t>
        </is>
      </c>
      <c r="D36" s="25" t="inlineStr">
        <is>
          <t>Transfer pricing</t>
        </is>
      </c>
      <c r="E36" s="18" t="n">
        <v>6000000</v>
      </c>
      <c r="F36" s="15" t="inlineStr">
        <is>
          <t>Medium</t>
        </is>
      </c>
      <c r="G36" s="21">
        <f>IF(F36="","",VLOOKUP(F36,Likelihood,2,FALSE))</f>
        <v/>
      </c>
      <c r="H36" s="33">
        <f>IF(OR(E36="",G36=""),"",ROUND(E36*G36,0))</f>
        <v/>
      </c>
      <c r="I36" s="25" t="inlineStr">
        <is>
          <t>Purchase contracts and market prices</t>
        </is>
      </c>
      <c r="J36" s="25" t="inlineStr">
        <is>
          <t>Reprice to market with a contract; indemnity</t>
        </is>
      </c>
      <c r="K36" s="25" t="inlineStr">
        <is>
          <t>Ato Yonas Tadesse</t>
        </is>
      </c>
      <c r="L36" s="25" t="inlineStr">
        <is>
          <t>Before closing</t>
        </is>
      </c>
      <c r="M36" s="15" t="inlineStr">
        <is>
          <t>Open</t>
        </is>
      </c>
      <c r="N36" s="17" t="n"/>
      <c r="O36" s="33">
        <f>IF(OR(N36="",E36=""),"",ROUND(N36*E36*($H$31+Late_Int_Add)/365,0))</f>
        <v/>
      </c>
      <c r="P36" s="18" t="n"/>
    </row>
    <row r="37" ht="33" customHeight="1">
      <c r="A37" s="24" t="n">
        <v>5</v>
      </c>
      <c r="B37" s="25" t="inlineStr">
        <is>
          <t>Ziway</t>
        </is>
      </c>
      <c r="C37" s="25" t="inlineStr">
        <is>
          <t>Assessment under objection</t>
        </is>
      </c>
      <c r="D37" s="25" t="inlineStr">
        <is>
          <t>Income tax</t>
        </is>
      </c>
      <c r="E37" s="18" t="n">
        <v>9000000</v>
      </c>
      <c r="F37" s="15" t="inlineStr">
        <is>
          <t>Medium</t>
        </is>
      </c>
      <c r="G37" s="21">
        <f>IF(F37="","",VLOOKUP(F37,Likelihood,2,FALSE))</f>
        <v/>
      </c>
      <c r="H37" s="33">
        <f>IF(OR(E37="",G37=""),"",ROUND(E37*G37,0))</f>
        <v/>
      </c>
      <c r="I37" s="25" t="inlineStr">
        <is>
          <t>Assessment notice and objection</t>
        </is>
      </c>
      <c r="J37" s="25" t="inlineStr">
        <is>
          <t>Escrow at Bank A</t>
        </is>
      </c>
      <c r="K37" s="25" t="inlineStr">
        <is>
          <t>Wro. Selamawit Haile</t>
        </is>
      </c>
      <c r="L37" s="25" t="inlineStr">
        <is>
          <t>Before closing</t>
        </is>
      </c>
      <c r="M37" s="15" t="inlineStr">
        <is>
          <t>Open</t>
        </is>
      </c>
      <c r="N37" s="17" t="n"/>
      <c r="O37" s="33">
        <f>IF(OR(N37="",E37=""),"",ROUND(N37*E37*($H$31+Late_Int_Add)/365,0))</f>
        <v/>
      </c>
      <c r="P37" s="18" t="n"/>
    </row>
    <row r="38" ht="33" customHeight="1">
      <c r="A38" s="24" t="n">
        <v>6</v>
      </c>
      <c r="B38" s="25" t="inlineStr">
        <is>
          <t>Foods</t>
        </is>
      </c>
      <c r="C38" s="25" t="inlineStr">
        <is>
          <t>FZE management fee above arm's length (Birr 28,200,000 excess)</t>
        </is>
      </c>
      <c r="D38" s="25" t="inlineStr">
        <is>
          <t>Transfer pricing</t>
        </is>
      </c>
      <c r="E38" s="18">
        <f>'Transfer Pricing Checklist'!J6</f>
        <v/>
      </c>
      <c r="F38" s="15" t="inlineStr">
        <is>
          <t>Medium</t>
        </is>
      </c>
      <c r="G38" s="21">
        <f>IF(F38="","",VLOOKUP(F38,Likelihood,2,FALSE))</f>
        <v/>
      </c>
      <c r="H38" s="33">
        <f>IF(OR(E38="",G38=""),"",ROUND(E38*G38,0))</f>
        <v/>
      </c>
      <c r="I38" s="25" t="inlineStr">
        <is>
          <t>Fee invoices; FZE cost data</t>
        </is>
      </c>
      <c r="J38" s="25" t="inlineStr">
        <is>
          <t>Reprice to cost plus 10%; prepare the transfer pricing file</t>
        </is>
      </c>
      <c r="K38" s="25" t="inlineStr">
        <is>
          <t>Ato Yonas Tadesse</t>
        </is>
      </c>
      <c r="L38" s="25" t="inlineStr">
        <is>
          <t>Next return</t>
        </is>
      </c>
      <c r="M38" s="15" t="inlineStr">
        <is>
          <t>Open</t>
        </is>
      </c>
      <c r="N38" s="17" t="n"/>
      <c r="O38" s="33">
        <f>IF(OR(N38="",E38=""),"",ROUND(N38*E38*($H$31+Late_Int_Add)/365,0))</f>
        <v/>
      </c>
      <c r="P38" s="18" t="n"/>
    </row>
    <row r="39">
      <c r="A39" s="24" t="n">
        <v>7</v>
      </c>
      <c r="B39" s="25" t="n"/>
      <c r="C39" s="25" t="n"/>
      <c r="D39" s="25" t="n"/>
      <c r="E39" s="18" t="n"/>
      <c r="F39" s="15" t="n"/>
      <c r="G39" s="21">
        <f>IF(F39="","",VLOOKUP(F39,Likelihood,2,FALSE))</f>
        <v/>
      </c>
      <c r="H39" s="33">
        <f>IF(OR(E39="",G39=""),"",ROUND(E39*G39,0))</f>
        <v/>
      </c>
      <c r="I39" s="25" t="n"/>
      <c r="J39" s="25" t="n"/>
      <c r="K39" s="25" t="n"/>
      <c r="L39" s="25" t="n"/>
      <c r="M39" s="15" t="n"/>
      <c r="N39" s="17" t="n"/>
      <c r="O39" s="33">
        <f>IF(OR(N39="",E39=""),"",ROUND(N39*E39*($H$31+Late_Int_Add)/365,0))</f>
        <v/>
      </c>
      <c r="P39" s="18" t="n"/>
    </row>
    <row r="40">
      <c r="A40" s="24" t="n">
        <v>8</v>
      </c>
      <c r="B40" s="25" t="n"/>
      <c r="C40" s="25" t="n"/>
      <c r="D40" s="25" t="n"/>
      <c r="E40" s="18" t="n"/>
      <c r="F40" s="15" t="n"/>
      <c r="G40" s="21">
        <f>IF(F40="","",VLOOKUP(F40,Likelihood,2,FALSE))</f>
        <v/>
      </c>
      <c r="H40" s="33">
        <f>IF(OR(E40="",G40=""),"",ROUND(E40*G40,0))</f>
        <v/>
      </c>
      <c r="I40" s="25" t="n"/>
      <c r="J40" s="25" t="n"/>
      <c r="K40" s="25" t="n"/>
      <c r="L40" s="25" t="n"/>
      <c r="M40" s="15" t="n"/>
      <c r="N40" s="17" t="n"/>
      <c r="O40" s="33">
        <f>IF(OR(N40="",E40=""),"",ROUND(N40*E40*($H$31+Late_Int_Add)/365,0))</f>
        <v/>
      </c>
      <c r="P40" s="18" t="n"/>
    </row>
    <row r="41">
      <c r="A41" s="24" t="n">
        <v>9</v>
      </c>
      <c r="B41" s="25" t="n"/>
      <c r="C41" s="25" t="n"/>
      <c r="D41" s="25" t="n"/>
      <c r="E41" s="18" t="n"/>
      <c r="F41" s="15" t="n"/>
      <c r="G41" s="21">
        <f>IF(F41="","",VLOOKUP(F41,Likelihood,2,FALSE))</f>
        <v/>
      </c>
      <c r="H41" s="33">
        <f>IF(OR(E41="",G41=""),"",ROUND(E41*G41,0))</f>
        <v/>
      </c>
      <c r="I41" s="25" t="n"/>
      <c r="J41" s="25" t="n"/>
      <c r="K41" s="25" t="n"/>
      <c r="L41" s="25" t="n"/>
      <c r="M41" s="15" t="n"/>
      <c r="N41" s="17" t="n"/>
      <c r="O41" s="33">
        <f>IF(OR(N41="",E41=""),"",ROUND(N41*E41*($H$31+Late_Int_Add)/365,0))</f>
        <v/>
      </c>
      <c r="P41" s="18" t="n"/>
    </row>
    <row r="42">
      <c r="A42" s="24" t="n">
        <v>10</v>
      </c>
      <c r="B42" s="25" t="n"/>
      <c r="C42" s="25" t="n"/>
      <c r="D42" s="25" t="n"/>
      <c r="E42" s="18" t="n"/>
      <c r="F42" s="15" t="n"/>
      <c r="G42" s="21">
        <f>IF(F42="","",VLOOKUP(F42,Likelihood,2,FALSE))</f>
        <v/>
      </c>
      <c r="H42" s="33">
        <f>IF(OR(E42="",G42=""),"",ROUND(E42*G42,0))</f>
        <v/>
      </c>
      <c r="I42" s="25" t="n"/>
      <c r="J42" s="25" t="n"/>
      <c r="K42" s="25" t="n"/>
      <c r="L42" s="25" t="n"/>
      <c r="M42" s="15" t="n"/>
      <c r="N42" s="17" t="n"/>
      <c r="O42" s="33">
        <f>IF(OR(N42="",E42=""),"",ROUND(N42*E42*($H$31+Late_Int_Add)/365,0))</f>
        <v/>
      </c>
      <c r="P42" s="18" t="n"/>
    </row>
    <row r="43">
      <c r="A43" s="24" t="n">
        <v>11</v>
      </c>
      <c r="B43" s="25" t="n"/>
      <c r="C43" s="25" t="n"/>
      <c r="D43" s="25" t="n"/>
      <c r="E43" s="18" t="n"/>
      <c r="F43" s="15" t="n"/>
      <c r="G43" s="21">
        <f>IF(F43="","",VLOOKUP(F43,Likelihood,2,FALSE))</f>
        <v/>
      </c>
      <c r="H43" s="33">
        <f>IF(OR(E43="",G43=""),"",ROUND(E43*G43,0))</f>
        <v/>
      </c>
      <c r="I43" s="25" t="n"/>
      <c r="J43" s="25" t="n"/>
      <c r="K43" s="25" t="n"/>
      <c r="L43" s="25" t="n"/>
      <c r="M43" s="15" t="n"/>
      <c r="N43" s="17" t="n"/>
      <c r="O43" s="33">
        <f>IF(OR(N43="",E43=""),"",ROUND(N43*E43*($H$31+Late_Int_Add)/365,0))</f>
        <v/>
      </c>
      <c r="P43" s="18" t="n"/>
    </row>
    <row r="44">
      <c r="A44" s="24" t="n">
        <v>12</v>
      </c>
      <c r="B44" s="25" t="n"/>
      <c r="C44" s="25" t="n"/>
      <c r="D44" s="25" t="n"/>
      <c r="E44" s="18" t="n"/>
      <c r="F44" s="15" t="n"/>
      <c r="G44" s="21">
        <f>IF(F44="","",VLOOKUP(F44,Likelihood,2,FALSE))</f>
        <v/>
      </c>
      <c r="H44" s="33">
        <f>IF(OR(E44="",G44=""),"",ROUND(E44*G44,0))</f>
        <v/>
      </c>
      <c r="I44" s="25" t="n"/>
      <c r="J44" s="25" t="n"/>
      <c r="K44" s="25" t="n"/>
      <c r="L44" s="25" t="n"/>
      <c r="M44" s="15" t="n"/>
      <c r="N44" s="17" t="n"/>
      <c r="O44" s="33">
        <f>IF(OR(N44="",E44=""),"",ROUND(N44*E44*($H$31+Late_Int_Add)/365,0))</f>
        <v/>
      </c>
      <c r="P44" s="18" t="n"/>
    </row>
    <row r="45">
      <c r="A45" s="27" t="n"/>
      <c r="B45" s="26" t="inlineStr">
        <is>
          <t>Ziway total (due diligence)</t>
        </is>
      </c>
      <c r="C45" s="27" t="n"/>
      <c r="D45" s="27" t="n"/>
      <c r="E45" s="34">
        <f>SUMIFS(E33:E44,B33:B44,"Ziway")</f>
        <v/>
      </c>
      <c r="F45" s="27" t="n"/>
      <c r="G45" s="27" t="n"/>
      <c r="H45" s="34">
        <f>SUMIFS(H33:H44,B33:B44,"Ziway")</f>
        <v/>
      </c>
      <c r="I45" s="27" t="n"/>
      <c r="J45" s="27" t="n"/>
      <c r="K45" s="27" t="n"/>
      <c r="L45" s="27" t="n"/>
      <c r="M45" s="27" t="n"/>
      <c r="N45" s="27" t="n"/>
      <c r="O45" s="27" t="n"/>
      <c r="P45" s="27" t="n"/>
    </row>
    <row r="46">
      <c r="A46" s="27" t="n"/>
      <c r="B46" s="26" t="inlineStr">
        <is>
          <t>Group total, all rows</t>
        </is>
      </c>
      <c r="C46" s="27" t="n"/>
      <c r="D46" s="27" t="n"/>
      <c r="E46" s="34">
        <f>SUM(E33:E44)</f>
        <v/>
      </c>
      <c r="F46" s="27" t="n"/>
      <c r="G46" s="27" t="n"/>
      <c r="H46" s="34">
        <f>SUM(H33:H44)</f>
        <v/>
      </c>
      <c r="I46" s="27" t="n"/>
      <c r="J46" s="27" t="n"/>
      <c r="K46" s="27" t="n"/>
      <c r="L46" s="27" t="n"/>
      <c r="M46" s="27" t="n"/>
      <c r="N46" s="27" t="n"/>
      <c r="O46" s="27" t="n"/>
      <c r="P46" s="27" t="n"/>
    </row>
    <row r="47">
      <c r="B47" s="32" t="inlineStr">
        <is>
          <t>Penalty rates not confirmed: check with the Ministry of Revenues. Negotiate on the gross exposure plus interest and penalties: the seller knows the history and should carry it.</t>
        </is>
      </c>
    </row>
    <row r="48"/>
    <row r="49">
      <c r="A49" s="10" t="inlineStr">
        <is>
          <t>Legal tax minimization only. Figures marked 'confirm' must be checked with the Ministry of Revenues or a tax adviser before use.</t>
        </is>
      </c>
      <c r="B49" s="11" t="n"/>
      <c r="C49" s="11" t="n"/>
      <c r="D49" s="11" t="n"/>
      <c r="E49" s="11" t="n"/>
      <c r="F49" s="11" t="n"/>
      <c r="G49" s="11" t="n"/>
      <c r="H49" s="11" t="n"/>
      <c r="I49" s="11" t="n"/>
      <c r="J49" s="11" t="n"/>
      <c r="K49" s="11" t="n"/>
      <c r="L49" s="11" t="n"/>
      <c r="M49" s="11" t="n"/>
      <c r="N49" s="11" t="n"/>
      <c r="O49" s="11" t="n"/>
      <c r="P49" s="11" t="n"/>
    </row>
  </sheetData>
  <mergeCells count="48">
    <mergeCell ref="H6:P6"/>
    <mergeCell ref="B16:C16"/>
    <mergeCell ref="B7:C7"/>
    <mergeCell ref="B25:C25"/>
    <mergeCell ref="E28:J28"/>
    <mergeCell ref="B22:C22"/>
    <mergeCell ref="B27:C27"/>
    <mergeCell ref="H11:P11"/>
    <mergeCell ref="B12:C12"/>
    <mergeCell ref="B21:C21"/>
    <mergeCell ref="H7:P7"/>
    <mergeCell ref="B11:C11"/>
    <mergeCell ref="E27:J27"/>
    <mergeCell ref="B23:C23"/>
    <mergeCell ref="B14:C14"/>
    <mergeCell ref="H13:P13"/>
    <mergeCell ref="E26:J26"/>
    <mergeCell ref="B17:C17"/>
    <mergeCell ref="B8:C8"/>
    <mergeCell ref="H12:P12"/>
    <mergeCell ref="B13:C13"/>
    <mergeCell ref="E25:J25"/>
    <mergeCell ref="A49:P49"/>
    <mergeCell ref="B45:D45"/>
    <mergeCell ref="E22:J22"/>
    <mergeCell ref="H5:P5"/>
    <mergeCell ref="B10:C10"/>
    <mergeCell ref="B28:C28"/>
    <mergeCell ref="H8:P8"/>
    <mergeCell ref="H14:P14"/>
    <mergeCell ref="I31:P31"/>
    <mergeCell ref="B9:C9"/>
    <mergeCell ref="E21:J21"/>
    <mergeCell ref="B6:C6"/>
    <mergeCell ref="B24:C24"/>
    <mergeCell ref="H10:P10"/>
    <mergeCell ref="B15:C15"/>
    <mergeCell ref="E24:J24"/>
    <mergeCell ref="B47:P47"/>
    <mergeCell ref="B46:D46"/>
    <mergeCell ref="B5:C5"/>
    <mergeCell ref="B20:C20"/>
    <mergeCell ref="B31:G31"/>
    <mergeCell ref="E23:J23"/>
    <mergeCell ref="H9:P9"/>
    <mergeCell ref="B26:C26"/>
    <mergeCell ref="E20:J20"/>
    <mergeCell ref="A2:P2"/>
  </mergeCells>
  <conditionalFormatting sqref="D6:G14">
    <cfRule type="cellIs" priority="1" operator="equal" dxfId="1">
      <formula>"Red"</formula>
    </cfRule>
    <cfRule type="cellIs" priority="2" operator="equal" dxfId="0">
      <formula>"Amber"</formula>
    </cfRule>
    <cfRule type="cellIs" priority="3" operator="equal" dxfId="2">
      <formula>"Green"</formula>
    </cfRule>
  </conditionalFormatting>
  <conditionalFormatting sqref="D28">
    <cfRule type="cellIs" priority="4" operator="equal" dxfId="0">
      <formula>"Investigate"</formula>
    </cfRule>
    <cfRule type="cellIs" priority="5" operator="equal" dxfId="2">
      <formula>"Reconciled"</formula>
    </cfRule>
  </conditionalFormatting>
  <conditionalFormatting sqref="F33:F44">
    <cfRule type="cellIs" priority="6" operator="equal" dxfId="1">
      <formula>"High"</formula>
    </cfRule>
    <cfRule type="cellIs" priority="7" operator="equal" dxfId="0">
      <formula>"Medium"</formula>
    </cfRule>
  </conditionalFormatting>
  <dataValidations count="3">
    <dataValidation sqref="D6:G14" showDropDown="0" showInputMessage="0" showErrorMessage="0" allowBlank="1" errorTitle="Invalid entry" error="Choose a value from the list." type="list">
      <formula1>"Green,Amber,Red,n/a"</formula1>
    </dataValidation>
    <dataValidation sqref="F33:F44" showDropDown="0" showInputMessage="0" showErrorMessage="0" allowBlank="1" errorTitle="Invalid entry" error="Choose a value from the list." type="list">
      <formula1>"High,Medium,Low"</formula1>
    </dataValidation>
    <dataValidation sqref="M33:M44" showDropDown="0" showInputMessage="0" showErrorMessage="0" allowBlank="1" errorTitle="Invalid entry" error="Choose a value from the list." type="list">
      <formula1>"Open,Closed"</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4.xml><?xml version="1.0" encoding="utf-8"?>
<worksheet xmlns="http://schemas.openxmlformats.org/spreadsheetml/2006/main">
  <sheetPr>
    <tabColor rgb="000F4C3A"/>
    <outlinePr summaryBelow="1" summaryRight="1"/>
    <pageSetUpPr fitToPage="1"/>
  </sheetPr>
  <dimension ref="A1:E44"/>
  <sheetViews>
    <sheetView showGridLines="0" workbookViewId="0">
      <pane ySplit="3" topLeftCell="A4" activePane="bottomLeft" state="frozen"/>
      <selection pane="bottomLeft" activeCell="A1" sqref="A1"/>
    </sheetView>
  </sheetViews>
  <sheetFormatPr baseColWidth="8" defaultRowHeight="15"/>
  <cols>
    <col width="54" customWidth="1" min="1" max="1"/>
    <col width="19" customWidth="1" min="2" max="2"/>
    <col width="19" customWidth="1" min="3" max="3"/>
    <col width="19" customWidth="1" min="4" max="4"/>
    <col width="50" customWidth="1" min="5" max="5"/>
  </cols>
  <sheetData>
    <row r="1" ht="26" customHeight="1">
      <c r="A1" s="1" t="inlineStr">
        <is>
          <t>Debt vs equity: financing the Birr 200 million pasta line (Tekeze Foods PLC)</t>
        </is>
      </c>
      <c r="B1" s="2" t="n"/>
      <c r="C1" s="2" t="n"/>
      <c r="D1" s="2" t="n"/>
      <c r="E1" s="2" t="n"/>
    </row>
    <row r="2">
      <c r="A2" s="13" t="inlineStr">
        <is>
          <t>Enter the funding inputs; the three columns compare a bank loan, a related-party loan and equity after tax, with the interest cap and the MAT test.</t>
        </is>
      </c>
    </row>
    <row r="3"/>
    <row r="4" ht="20" customHeight="1">
      <c r="A4" s="6" t="inlineStr">
        <is>
          <t>Input</t>
        </is>
      </c>
      <c r="B4" s="6" t="inlineStr">
        <is>
          <t>Value</t>
        </is>
      </c>
      <c r="C4" s="6" t="inlineStr"/>
      <c r="D4" s="6" t="inlineStr"/>
      <c r="E4" s="6" t="inlineStr">
        <is>
          <t>Note</t>
        </is>
      </c>
    </row>
    <row r="5">
      <c r="A5" s="8" t="inlineStr">
        <is>
          <t>Amount to fund (Birr)</t>
        </is>
      </c>
      <c r="B5" s="18" t="n">
        <v>200000000</v>
      </c>
      <c r="E5" s="35" t="inlineStr"/>
    </row>
    <row r="6">
      <c r="A6" s="8" t="inlineStr">
        <is>
          <t>Profit before interest and tax after the project (Birr)</t>
        </is>
      </c>
      <c r="B6" s="18" t="n">
        <v>190000000</v>
      </c>
      <c r="E6" s="35" t="inlineStr"/>
    </row>
    <row r="7">
      <c r="A7" s="8" t="inlineStr">
        <is>
          <t>Existing interest (Birr)</t>
        </is>
      </c>
      <c r="B7" s="18" t="n">
        <v>10000000</v>
      </c>
      <c r="E7" s="35" t="inlineStr"/>
    </row>
    <row r="8">
      <c r="A8" s="8" t="inlineStr">
        <is>
          <t>Turnover after the project (Birr)</t>
        </is>
      </c>
      <c r="B8" s="18" t="n">
        <v>1350000000</v>
      </c>
      <c r="E8" s="35" t="inlineStr"/>
    </row>
    <row r="9">
      <c r="A9" s="8" t="inlineStr">
        <is>
          <t>Bank loan rate (Bank A, NBE-licensed lender)</t>
        </is>
      </c>
      <c r="B9" s="14" t="n">
        <v>0.15</v>
      </c>
      <c r="E9" s="35" t="inlineStr"/>
    </row>
    <row r="10">
      <c r="A10" s="8" t="inlineStr">
        <is>
          <t>Related-party loan rate (Tekeze Trading FZE)</t>
        </is>
      </c>
      <c r="B10" s="14" t="n">
        <v>0.2</v>
      </c>
      <c r="E10" s="35" t="inlineStr"/>
    </row>
    <row r="11">
      <c r="A11" s="8" t="inlineStr">
        <is>
          <t>Reference rate (from Rates and Assumptions)</t>
        </is>
      </c>
      <c r="B11" s="21">
        <f>RefRate</f>
        <v/>
      </c>
      <c r="E11" s="35" t="inlineStr">
        <is>
          <t>Illustrative: confirm</t>
        </is>
      </c>
    </row>
    <row r="12">
      <c r="A12" s="8" t="inlineStr">
        <is>
          <t>Equity expected return</t>
        </is>
      </c>
      <c r="B12" s="14" t="n">
        <v>0.22</v>
      </c>
      <c r="E12" s="35" t="inlineStr"/>
    </row>
    <row r="13">
      <c r="A13" s="8" t="inlineStr">
        <is>
          <t>Holder type for dividends</t>
        </is>
      </c>
      <c r="B13" s="15" t="inlineStr">
        <is>
          <t>Company 12.5%+</t>
        </is>
      </c>
      <c r="E13" s="35" t="inlineStr">
        <is>
          <t>Company holding 12.5% or more, or Individual</t>
        </is>
      </c>
    </row>
    <row r="14">
      <c r="A14" s="8" t="inlineStr">
        <is>
          <t>Loan used to buy shares?</t>
        </is>
      </c>
      <c r="B14" s="15" t="inlineStr">
        <is>
          <t>No</t>
        </is>
      </c>
      <c r="E14" s="35" t="inlineStr">
        <is>
          <t>Proclamation No. 1395/2025</t>
        </is>
      </c>
    </row>
    <row r="15" ht="33" customHeight="1">
      <c r="A15" s="8" t="inlineStr">
        <is>
          <t>Dividends received from that company?</t>
        </is>
      </c>
      <c r="B15" s="15" t="inlineStr">
        <is>
          <t>No</t>
        </is>
      </c>
      <c r="E15" s="35" t="inlineStr">
        <is>
          <t>Interest on a share-acquisition loan is deductible only if dividends are received</t>
        </is>
      </c>
    </row>
    <row r="16"/>
    <row r="17" ht="20" customHeight="1">
      <c r="A17" s="6" t="inlineStr">
        <is>
          <t>Calculation</t>
        </is>
      </c>
      <c r="B17" s="6" t="inlineStr">
        <is>
          <t>Bank loan</t>
        </is>
      </c>
      <c r="C17" s="6" t="inlineStr">
        <is>
          <t>Related-party loan</t>
        </is>
      </c>
      <c r="D17" s="6" t="inlineStr">
        <is>
          <t>Equity</t>
        </is>
      </c>
      <c r="E17" s="6" t="inlineStr">
        <is>
          <t>Note</t>
        </is>
      </c>
    </row>
    <row r="18">
      <c r="A18" s="9" t="inlineStr">
        <is>
          <t>Lender is non-resident? (input)</t>
        </is>
      </c>
      <c r="B18" s="15" t="inlineStr">
        <is>
          <t>No</t>
        </is>
      </c>
      <c r="C18" s="15" t="inlineStr">
        <is>
          <t>Yes</t>
        </is>
      </c>
      <c r="D18" s="15" t="inlineStr">
        <is>
          <t>n/a</t>
        </is>
      </c>
      <c r="E18" s="35" t="inlineStr"/>
    </row>
    <row r="19">
      <c r="A19" s="9" t="inlineStr">
        <is>
          <t>Interest = amount x rate</t>
        </is>
      </c>
      <c r="B19" s="33">
        <f>ROUND($B$5*$B$9,0)</f>
        <v/>
      </c>
      <c r="C19" s="33">
        <f>ROUND($B$5*$B$10,0)</f>
        <v/>
      </c>
      <c r="D19" s="33">
        <f>0</f>
        <v/>
      </c>
      <c r="E19" s="35" t="inlineStr"/>
    </row>
    <row r="20" ht="33" customHeight="1">
      <c r="A20" s="9" t="inlineStr">
        <is>
          <t>Deductible rate cap = reference rate + margin</t>
        </is>
      </c>
      <c r="B20" s="21">
        <f>"Not applied"</f>
        <v/>
      </c>
      <c r="C20" s="21">
        <f>RefRate+RateCapMargin</f>
        <v/>
      </c>
      <c r="D20" s="21">
        <f>"n/a"</f>
        <v/>
      </c>
      <c r="E20" s="35" t="inlineStr">
        <is>
          <t>The cap does not apply to NBE-recognized lenders, so the bank column is not capped.</t>
        </is>
      </c>
    </row>
    <row r="21">
      <c r="A21" s="9" t="inlineStr">
        <is>
          <t>Share-acquisition rule blocks the deduction?</t>
        </is>
      </c>
      <c r="B21" s="36">
        <f>IF(AND($B$14="Yes",$B$15="No"),"Yes","No")</f>
        <v/>
      </c>
      <c r="C21" s="36">
        <f>IF(AND($B$14="Yes",$B$15="No"),"Yes","No")</f>
        <v/>
      </c>
      <c r="D21" s="36">
        <f>"n/a"</f>
        <v/>
      </c>
      <c r="E21" s="35" t="inlineStr"/>
    </row>
    <row r="22">
      <c r="A22" s="9" t="inlineStr">
        <is>
          <t>Deductible interest</t>
        </is>
      </c>
      <c r="B22" s="33">
        <f>IF(B21="Yes",0,B19)</f>
        <v/>
      </c>
      <c r="C22" s="33">
        <f>IF(C21="Yes",0,MIN(C19,ROUND($B$5*C20,0)))</f>
        <v/>
      </c>
      <c r="D22" s="33">
        <f>0</f>
        <v/>
      </c>
      <c r="E22" s="35" t="inlineStr">
        <is>
          <t>Related-party loan: deductible only up to the capped rate.</t>
        </is>
      </c>
    </row>
    <row r="23">
      <c r="A23" s="9" t="inlineStr">
        <is>
          <t>Non-deductible interest</t>
        </is>
      </c>
      <c r="B23" s="33">
        <f>B19-B22</f>
        <v/>
      </c>
      <c r="C23" s="33">
        <f>C19-C22</f>
        <v/>
      </c>
      <c r="D23" s="33">
        <f>D19-D22</f>
        <v/>
      </c>
      <c r="E23" s="35" t="inlineStr"/>
    </row>
    <row r="24" ht="33" customHeight="1">
      <c r="A24" s="9" t="inlineStr">
        <is>
          <t>Taxable income = PBIT minus existing interest minus deductible interest</t>
        </is>
      </c>
      <c r="B24" s="33">
        <f>$B$6-$B$7-B22</f>
        <v/>
      </c>
      <c r="C24" s="33">
        <f>$B$6-$B$7-C22</f>
        <v/>
      </c>
      <c r="D24" s="33">
        <f>$B$6-$B$7-D22</f>
        <v/>
      </c>
      <c r="E24" s="35" t="inlineStr"/>
    </row>
    <row r="25">
      <c r="A25" s="9" t="inlineStr">
        <is>
          <t>Regular tax = taxable income x CIT rate</t>
        </is>
      </c>
      <c r="B25" s="33">
        <f>ROUND(MAX(0,B24)*CIT_Rate,0)</f>
        <v/>
      </c>
      <c r="C25" s="33">
        <f>ROUND(MAX(0,C24)*CIT_Rate,0)</f>
        <v/>
      </c>
      <c r="D25" s="33">
        <f>ROUND(MAX(0,D24)*CIT_Rate,0)</f>
        <v/>
      </c>
      <c r="E25" s="35" t="inlineStr"/>
    </row>
    <row r="26">
      <c r="A26" s="9" t="inlineStr">
        <is>
          <t>MAT = turnover x MAT rate</t>
        </is>
      </c>
      <c r="B26" s="33">
        <f>ROUND($B$8*MAT_Rate,0)</f>
        <v/>
      </c>
      <c r="C26" s="33">
        <f>ROUND($B$8*MAT_Rate,0)</f>
        <v/>
      </c>
      <c r="D26" s="33">
        <f>ROUND($B$8*MAT_Rate,0)</f>
        <v/>
      </c>
      <c r="E26" s="35" t="inlineStr"/>
    </row>
    <row r="27">
      <c r="A27" s="8" t="inlineStr">
        <is>
          <t>Tax payable = higher of regular tax and MAT</t>
        </is>
      </c>
      <c r="B27" s="30">
        <f>MAX(B25,B26)</f>
        <v/>
      </c>
      <c r="C27" s="30">
        <f>MAX(C25,C26)</f>
        <v/>
      </c>
      <c r="D27" s="30">
        <f>MAX(D25,D26)</f>
        <v/>
      </c>
      <c r="E27" s="35" t="inlineStr"/>
    </row>
    <row r="28" ht="33" customHeight="1">
      <c r="A28" s="8" t="inlineStr">
        <is>
          <t>Tax shield vs equity = equity tax payable minus this column's tax payable</t>
        </is>
      </c>
      <c r="B28" s="30">
        <f>$D$27-B27</f>
        <v/>
      </c>
      <c r="C28" s="30">
        <f>$D$27-C27</f>
        <v/>
      </c>
      <c r="D28" s="30">
        <f>$D$27-D27</f>
        <v/>
      </c>
      <c r="E28" s="35" t="inlineStr"/>
    </row>
    <row r="29" ht="33" customHeight="1">
      <c r="A29" s="8" t="inlineStr">
        <is>
          <t>After-tax cost % = (interest minus tax shield) / amount (equity: expected return)</t>
        </is>
      </c>
      <c r="B29" s="37">
        <f>(B19-B28)/$B$5</f>
        <v/>
      </c>
      <c r="C29" s="37">
        <f>(C19-C28)/$B$5</f>
        <v/>
      </c>
      <c r="D29" s="37">
        <f>$B$12</f>
        <v/>
      </c>
      <c r="E29" s="35" t="inlineStr">
        <is>
          <t>Debt is cheaper while regular tax is above MAT and the cash flow can service it.</t>
        </is>
      </c>
    </row>
    <row r="30" ht="33" customHeight="1">
      <c r="A30" s="9" t="inlineStr">
        <is>
          <t>Withholding on interest to a non-resident</t>
        </is>
      </c>
      <c r="B30" s="33">
        <f>IF(B18="Yes",ROUND(B19*Int_WHT,0),0)</f>
        <v/>
      </c>
      <c r="C30" s="33">
        <f>IF(C18="Yes",ROUND(C19*Int_WHT,0),0)</f>
        <v/>
      </c>
      <c r="D30" s="33">
        <f>0</f>
        <v/>
      </c>
      <c r="E30" s="35" t="inlineStr">
        <is>
          <t>Related-party lender is in Dubai; treaty rate only once confirmed.</t>
        </is>
      </c>
    </row>
    <row r="31">
      <c r="A31" s="9" t="inlineStr">
        <is>
          <t>MAT flag</t>
        </is>
      </c>
      <c r="B31" s="36">
        <f>IF(B25&lt;B26,"MAT binds: no cash shield this year","")</f>
        <v/>
      </c>
      <c r="C31" s="36">
        <f>IF(C25&lt;C26,"MAT binds: no cash shield this year","")</f>
        <v/>
      </c>
      <c r="D31" s="36">
        <f>IF(D25&lt;D26,"MAT binds: no cash shield this year","")</f>
        <v/>
      </c>
      <c r="E31" s="35" t="inlineStr"/>
    </row>
    <row r="32"/>
    <row r="33">
      <c r="A33" s="5" t="inlineStr">
        <is>
          <t>Block B: distribution plan for 2025/26 profit (Tekeze Foods PLC)</t>
        </is>
      </c>
    </row>
    <row r="34" ht="20" customHeight="1">
      <c r="A34" s="6" t="inlineStr">
        <is>
          <t>Line</t>
        </is>
      </c>
      <c r="B34" s="6" t="inlineStr">
        <is>
          <t>Birr</t>
        </is>
      </c>
      <c r="C34" s="6" t="inlineStr"/>
      <c r="D34" s="6" t="inlineStr"/>
      <c r="E34" s="6" t="inlineStr">
        <is>
          <t>Note</t>
        </is>
      </c>
    </row>
    <row r="35">
      <c r="A35" s="8" t="inlineStr">
        <is>
          <t>Profit after tax</t>
        </is>
      </c>
      <c r="B35" s="18" t="n">
        <v>98000000</v>
      </c>
      <c r="E35" s="35" t="inlineStr"/>
    </row>
    <row r="36">
      <c r="A36" s="8" t="inlineStr">
        <is>
          <t>Dividend paid</t>
        </is>
      </c>
      <c r="B36" s="18" t="n">
        <v>40000000</v>
      </c>
      <c r="E36" s="35" t="inlineStr"/>
    </row>
    <row r="37">
      <c r="A37" s="8" t="inlineStr">
        <is>
          <t>Registered capital increase within 12 months</t>
        </is>
      </c>
      <c r="B37" s="18" t="n">
        <v>30000000</v>
      </c>
      <c r="E37" s="35" t="inlineStr"/>
    </row>
    <row r="38">
      <c r="A38" s="8" t="inlineStr">
        <is>
          <t>Undistributed = profit minus dividend minus capital increase</t>
        </is>
      </c>
      <c r="B38" s="33">
        <f>MAX(0,B35-B36-B37)</f>
        <v/>
      </c>
      <c r="E38" s="35" t="inlineStr"/>
    </row>
    <row r="39">
      <c r="A39" s="8" t="inlineStr">
        <is>
          <t>Undistributed profit tax = undistributed x UPT rate</t>
        </is>
      </c>
      <c r="B39" s="30">
        <f>ROUND(B38*UPT_Rate,0)</f>
        <v/>
      </c>
      <c r="E39" s="35" t="inlineStr">
        <is>
          <t>Capitalizing or distributing within 12 months avoids it.</t>
        </is>
      </c>
    </row>
    <row r="40" ht="33" customHeight="1">
      <c r="A40" s="8" t="inlineStr">
        <is>
          <t>Dividend withholding (holder type from the inputs)</t>
        </is>
      </c>
      <c r="B40" s="33">
        <f>IF($B$13="Individual",ROUND(B36*Div_WHT,0),0)</f>
        <v/>
      </c>
      <c r="E40" s="35" t="inlineStr">
        <is>
          <t>Exemption for a company holding 12.5% or more per firm summaries: confirm.</t>
        </is>
      </c>
    </row>
    <row r="41">
      <c r="A41" s="8" t="inlineStr">
        <is>
          <t>Holding company pays on to individual shareholders</t>
        </is>
      </c>
      <c r="B41" s="18" t="n">
        <v>40000000</v>
      </c>
      <c r="E41" s="35" t="inlineStr"/>
    </row>
    <row r="42">
      <c r="A42" s="8" t="inlineStr">
        <is>
          <t>Withholding on the onward dividend</t>
        </is>
      </c>
      <c r="B42" s="33">
        <f>ROUND(B41*Div_WHT,0)</f>
        <v/>
      </c>
      <c r="E42" s="35" t="inlineStr"/>
    </row>
    <row r="43"/>
    <row r="44">
      <c r="A44" s="10" t="inlineStr">
        <is>
          <t>Legal tax minimization only. Figures marked 'confirm' must be checked with the Ministry of Revenues or a tax adviser before use.</t>
        </is>
      </c>
      <c r="B44" s="11" t="n"/>
      <c r="C44" s="11" t="n"/>
      <c r="D44" s="11" t="n"/>
      <c r="E44" s="11" t="n"/>
    </row>
  </sheetData>
  <mergeCells count="21">
    <mergeCell ref="C6:D6"/>
    <mergeCell ref="C15:D15"/>
    <mergeCell ref="C5:D5"/>
    <mergeCell ref="C42:D42"/>
    <mergeCell ref="C14:D14"/>
    <mergeCell ref="C35:D35"/>
    <mergeCell ref="C10:D10"/>
    <mergeCell ref="C41:D41"/>
    <mergeCell ref="C40:D40"/>
    <mergeCell ref="C9:D9"/>
    <mergeCell ref="C12:D12"/>
    <mergeCell ref="A2:E2"/>
    <mergeCell ref="C11:D11"/>
    <mergeCell ref="C36:D36"/>
    <mergeCell ref="C39:D39"/>
    <mergeCell ref="C8:D8"/>
    <mergeCell ref="C7:D7"/>
    <mergeCell ref="C38:D38"/>
    <mergeCell ref="C37:D37"/>
    <mergeCell ref="C13:D13"/>
    <mergeCell ref="A44:E44"/>
  </mergeCells>
  <dataValidations count="3">
    <dataValidation sqref="B13" showDropDown="0" showInputMessage="0" showErrorMessage="0" allowBlank="1" errorTitle="Invalid entry" error="Choose a value from the list." type="list">
      <formula1>"Company 12.5%+,Individual"</formula1>
    </dataValidation>
    <dataValidation sqref="B14:B15" showDropDown="0" showInputMessage="0" showErrorMessage="0" allowBlank="1" errorTitle="Invalid entry" error="Choose a value from the list." type="list">
      <formula1>"Yes,No"</formula1>
    </dataValidation>
    <dataValidation sqref="B18:D18" showDropDown="0" showInputMessage="0" showErrorMessage="0" allowBlank="1" errorTitle="Invalid entry" error="Choose a value from the list." type="list">
      <formula1>"Yes,No,n/a"</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5.xml><?xml version="1.0" encoding="utf-8"?>
<worksheet xmlns="http://schemas.openxmlformats.org/spreadsheetml/2006/main">
  <sheetPr>
    <tabColor rgb="000F4C3A"/>
    <outlinePr summaryBelow="1" summaryRight="1"/>
    <pageSetUpPr fitToPage="1"/>
  </sheetPr>
  <dimension ref="A1:G63"/>
  <sheetViews>
    <sheetView showGridLines="0" workbookViewId="0">
      <pane xSplit="1" ySplit="15" topLeftCell="B16" activePane="bottomRight" state="frozen"/>
      <selection pane="topRight"/>
      <selection pane="bottomLeft"/>
      <selection pane="bottomRight"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6" customWidth="1" min="7" max="7"/>
  </cols>
  <sheetData>
    <row r="1" ht="26" customHeight="1">
      <c r="A1" s="1" t="inlineStr">
        <is>
          <t>Lease vs buy: 10 trucks for Tekeze Logistics PLC</t>
        </is>
      </c>
      <c r="B1" s="2" t="n"/>
      <c r="C1" s="2" t="n"/>
      <c r="D1" s="2" t="n"/>
      <c r="E1" s="2" t="n"/>
      <c r="F1" s="2" t="n"/>
      <c r="G1" s="2" t="n"/>
    </row>
    <row r="2">
      <c r="A2" s="13" t="inlineStr">
        <is>
          <t>Enter the inputs and the yearly finance charges; deductions, tax shields, the MAT test and the NPV of after-tax cash flows calculate for each option.</t>
        </is>
      </c>
    </row>
    <row r="3"/>
    <row r="4" ht="20" customHeight="1">
      <c r="A4" s="6" t="inlineStr">
        <is>
          <t>Input</t>
        </is>
      </c>
      <c r="B4" s="6" t="inlineStr">
        <is>
          <t>Value</t>
        </is>
      </c>
      <c r="C4" s="6" t="inlineStr">
        <is>
          <t>Note</t>
        </is>
      </c>
      <c r="D4" s="23" t="n"/>
      <c r="E4" s="23" t="n"/>
      <c r="F4" s="23" t="n"/>
      <c r="G4" s="22" t="n"/>
    </row>
    <row r="5">
      <c r="A5" s="8" t="inlineStr">
        <is>
          <t>Asset cost (10 trucks, Birr)</t>
        </is>
      </c>
      <c r="B5" s="18" t="n">
        <v>60000000</v>
      </c>
      <c r="C5" s="35" t="inlineStr"/>
    </row>
    <row r="6">
      <c r="A6" s="8" t="inlineStr">
        <is>
          <t>Depreciation method (must match the accounts)</t>
        </is>
      </c>
      <c r="B6" s="15" t="inlineStr">
        <is>
          <t>SL</t>
        </is>
      </c>
      <c r="C6" s="35" t="inlineStr">
        <is>
          <t>SL = straight-line, DV = diminishing value</t>
        </is>
      </c>
    </row>
    <row r="7">
      <c r="A7" s="8" t="inlineStr">
        <is>
          <t>Depreciation rate (other assets)</t>
        </is>
      </c>
      <c r="B7" s="21">
        <f>IF(B6="DV",Dep_Other_DV,Dep_Other_SL)</f>
        <v/>
      </c>
      <c r="C7" s="35" t="inlineStr">
        <is>
          <t>From Rates and Assumptions: 15% SL or 20% DV</t>
        </is>
      </c>
    </row>
    <row r="8">
      <c r="A8" s="8" t="inlineStr">
        <is>
          <t>Loan rate (Bank A)</t>
        </is>
      </c>
      <c r="B8" s="14" t="n">
        <v>0.15</v>
      </c>
      <c r="C8" s="35" t="inlineStr">
        <is>
          <t>Principal repaid in equal amounts over the years</t>
        </is>
      </c>
    </row>
    <row r="9">
      <c r="A9" s="8" t="inlineStr">
        <is>
          <t>Operating lease rent per year (Birr)</t>
        </is>
      </c>
      <c r="B9" s="18" t="n">
        <v>15000000</v>
      </c>
      <c r="C9" s="35" t="inlineStr">
        <is>
          <t>Deductibility generally accepted: confirm</t>
        </is>
      </c>
    </row>
    <row r="10">
      <c r="A10" s="8" t="inlineStr">
        <is>
          <t>Company turnover (Birr)</t>
        </is>
      </c>
      <c r="B10" s="18" t="n">
        <v>480000000</v>
      </c>
      <c r="C10" s="35" t="inlineStr"/>
    </row>
    <row r="11">
      <c r="A11" s="8" t="inlineStr">
        <is>
          <t>Taxable income before the asset (Birr)</t>
        </is>
      </c>
      <c r="B11" s="18" t="n">
        <v>30000000</v>
      </c>
      <c r="C11" s="35" t="inlineStr"/>
    </row>
    <row r="12">
      <c r="A12" s="8" t="inlineStr">
        <is>
          <t>Years</t>
        </is>
      </c>
      <c r="B12" s="17" t="n">
        <v>5</v>
      </c>
      <c r="C12" s="35" t="inlineStr">
        <is>
          <t>The table covers 5 years</t>
        </is>
      </c>
    </row>
    <row r="13">
      <c r="A13" s="8" t="inlineStr">
        <is>
          <t>Discount rate for NPV</t>
        </is>
      </c>
      <c r="B13" s="14" t="n">
        <v>0.15</v>
      </c>
      <c r="C13" s="35" t="inlineStr"/>
    </row>
    <row r="14"/>
    <row r="15" ht="20" customHeight="1">
      <c r="A15" s="6" t="inlineStr">
        <is>
          <t>Line (Birr)</t>
        </is>
      </c>
      <c r="B15" s="6" t="inlineStr">
        <is>
          <t>Year 1</t>
        </is>
      </c>
      <c r="C15" s="6" t="inlineStr">
        <is>
          <t>Year 2</t>
        </is>
      </c>
      <c r="D15" s="6" t="inlineStr">
        <is>
          <t>Year 3</t>
        </is>
      </c>
      <c r="E15" s="6" t="inlineStr">
        <is>
          <t>Year 4</t>
        </is>
      </c>
      <c r="F15" s="6" t="inlineStr">
        <is>
          <t>Year 5</t>
        </is>
      </c>
      <c r="G15" s="6" t="inlineStr">
        <is>
          <t>Total</t>
        </is>
      </c>
    </row>
    <row r="16">
      <c r="A16" s="5" t="inlineStr">
        <is>
          <t>Buy with a loan</t>
        </is>
      </c>
    </row>
    <row r="17">
      <c r="A17" s="9" t="inlineStr">
        <is>
          <t>Opening loan balance</t>
        </is>
      </c>
      <c r="B17" s="33">
        <f>$B$5</f>
        <v/>
      </c>
      <c r="C17" s="33">
        <f>B17-B18</f>
        <v/>
      </c>
      <c r="D17" s="33">
        <f>C17-C18</f>
        <v/>
      </c>
      <c r="E17" s="33">
        <f>D17-D18</f>
        <v/>
      </c>
      <c r="F17" s="33">
        <f>E17-E18</f>
        <v/>
      </c>
      <c r="G17" s="9" t="inlineStr"/>
    </row>
    <row r="18">
      <c r="A18" s="9" t="inlineStr">
        <is>
          <t>Principal repayment</t>
        </is>
      </c>
      <c r="B18" s="33">
        <f>ROUND($B$5/$B$12,0)</f>
        <v/>
      </c>
      <c r="C18" s="33">
        <f>ROUND($B$5/$B$12,0)</f>
        <v/>
      </c>
      <c r="D18" s="33">
        <f>ROUND($B$5/$B$12,0)</f>
        <v/>
      </c>
      <c r="E18" s="33">
        <f>ROUND($B$5/$B$12,0)</f>
        <v/>
      </c>
      <c r="F18" s="33">
        <f>ROUND($B$5/$B$12,0)</f>
        <v/>
      </c>
      <c r="G18" s="30">
        <f>SUM(B18:F18)</f>
        <v/>
      </c>
    </row>
    <row r="19">
      <c r="A19" s="9" t="inlineStr">
        <is>
          <t>Opening written-down value</t>
        </is>
      </c>
      <c r="B19" s="33">
        <f>$B$5</f>
        <v/>
      </c>
      <c r="C19" s="33">
        <f>B19-B20</f>
        <v/>
      </c>
      <c r="D19" s="33">
        <f>C19-C20</f>
        <v/>
      </c>
      <c r="E19" s="33">
        <f>D19-D20</f>
        <v/>
      </c>
      <c r="F19" s="33">
        <f>E19-E20</f>
        <v/>
      </c>
      <c r="G19" s="9" t="inlineStr"/>
    </row>
    <row r="20">
      <c r="A20" s="9" t="inlineStr">
        <is>
          <t>Depreciation</t>
        </is>
      </c>
      <c r="B20" s="33">
        <f>IF($B$6="DV",ROUND(B19*$B$7,0),MIN(B19,ROUND($B$5*$B$7,0)))</f>
        <v/>
      </c>
      <c r="C20" s="33">
        <f>IF($B$6="DV",ROUND(C19*$B$7,0),MIN(C19,ROUND($B$5*$B$7,0)))</f>
        <v/>
      </c>
      <c r="D20" s="33">
        <f>IF($B$6="DV",ROUND(D19*$B$7,0),MIN(D19,ROUND($B$5*$B$7,0)))</f>
        <v/>
      </c>
      <c r="E20" s="33">
        <f>IF($B$6="DV",ROUND(E19*$B$7,0),MIN(E19,ROUND($B$5*$B$7,0)))</f>
        <v/>
      </c>
      <c r="F20" s="33">
        <f>IF($B$6="DV",ROUND(F19*$B$7,0),MIN(F19,ROUND($B$5*$B$7,0)))</f>
        <v/>
      </c>
      <c r="G20" s="30">
        <f>SUM(B20:F20)</f>
        <v/>
      </c>
    </row>
    <row r="21">
      <c r="A21" s="9" t="inlineStr">
        <is>
          <t>Interest</t>
        </is>
      </c>
      <c r="B21" s="33">
        <f>ROUND(B17*$B$8,0)</f>
        <v/>
      </c>
      <c r="C21" s="33">
        <f>ROUND(C17*$B$8,0)</f>
        <v/>
      </c>
      <c r="D21" s="33">
        <f>ROUND(D17*$B$8,0)</f>
        <v/>
      </c>
      <c r="E21" s="33">
        <f>ROUND(E17*$B$8,0)</f>
        <v/>
      </c>
      <c r="F21" s="33">
        <f>ROUND(F17*$B$8,0)</f>
        <v/>
      </c>
      <c r="G21" s="30">
        <f>SUM(B21:F21)</f>
        <v/>
      </c>
    </row>
    <row r="22">
      <c r="A22" s="8" t="inlineStr">
        <is>
          <t>Deductions = depreciation + interest</t>
        </is>
      </c>
      <c r="B22" s="30">
        <f>B20+B21</f>
        <v/>
      </c>
      <c r="C22" s="30">
        <f>C20+C21</f>
        <v/>
      </c>
      <c r="D22" s="30">
        <f>D20+D21</f>
        <v/>
      </c>
      <c r="E22" s="30">
        <f>E20+E21</f>
        <v/>
      </c>
      <c r="F22" s="30">
        <f>F20+F21</f>
        <v/>
      </c>
      <c r="G22" s="30">
        <f>SUM(B22:F22)</f>
        <v/>
      </c>
    </row>
    <row r="23">
      <c r="A23" s="9" t="inlineStr">
        <is>
          <t>Tax shield = deductions x CIT rate</t>
        </is>
      </c>
      <c r="B23" s="33">
        <f>ROUND(B22*CIT_Rate,0)</f>
        <v/>
      </c>
      <c r="C23" s="33">
        <f>ROUND(C22*CIT_Rate,0)</f>
        <v/>
      </c>
      <c r="D23" s="33">
        <f>ROUND(D22*CIT_Rate,0)</f>
        <v/>
      </c>
      <c r="E23" s="33">
        <f>ROUND(E22*CIT_Rate,0)</f>
        <v/>
      </c>
      <c r="F23" s="33">
        <f>ROUND(F22*CIT_Rate,0)</f>
        <v/>
      </c>
      <c r="G23" s="30">
        <f>SUM(B23:F23)</f>
        <v/>
      </c>
    </row>
    <row r="24">
      <c r="A24" s="9" t="inlineStr">
        <is>
          <t>Pre-tax cash payments = principal + interest</t>
        </is>
      </c>
      <c r="B24" s="33">
        <f>B18+B21</f>
        <v/>
      </c>
      <c r="C24" s="33">
        <f>C18+C21</f>
        <v/>
      </c>
      <c r="D24" s="33">
        <f>D18+D21</f>
        <v/>
      </c>
      <c r="E24" s="33">
        <f>E18+E21</f>
        <v/>
      </c>
      <c r="F24" s="33">
        <f>F18+F21</f>
        <v/>
      </c>
      <c r="G24" s="30">
        <f>SUM(B24:F24)</f>
        <v/>
      </c>
    </row>
    <row r="25"/>
    <row r="26">
      <c r="A26" s="5" t="inlineStr">
        <is>
          <t>Hire purchase</t>
        </is>
      </c>
    </row>
    <row r="27">
      <c r="A27" s="9" t="inlineStr">
        <is>
          <t>Depreciation (claimed by the lessee)</t>
        </is>
      </c>
      <c r="B27" s="33">
        <f>B20</f>
        <v/>
      </c>
      <c r="C27" s="33">
        <f>C20</f>
        <v/>
      </c>
      <c r="D27" s="33">
        <f>D20</f>
        <v/>
      </c>
      <c r="E27" s="33">
        <f>E20</f>
        <v/>
      </c>
      <c r="F27" s="33">
        <f>F20</f>
        <v/>
      </c>
      <c r="G27" s="30">
        <f>SUM(B27:F27)</f>
        <v/>
      </c>
    </row>
    <row r="28">
      <c r="A28" s="9" t="inlineStr">
        <is>
          <t>Finance charge (input per year; deductibility to confirm)</t>
        </is>
      </c>
      <c r="B28" s="18" t="n">
        <v>9600000</v>
      </c>
      <c r="C28" s="18" t="n">
        <v>7680000</v>
      </c>
      <c r="D28" s="18" t="n">
        <v>5760000</v>
      </c>
      <c r="E28" s="18" t="n">
        <v>3840000</v>
      </c>
      <c r="F28" s="18" t="n">
        <v>1920000</v>
      </c>
      <c r="G28" s="30">
        <f>SUM(B28:F28)</f>
        <v/>
      </c>
    </row>
    <row r="29">
      <c r="A29" s="8" t="inlineStr">
        <is>
          <t>Deductions = depreciation + finance charge</t>
        </is>
      </c>
      <c r="B29" s="30">
        <f>B27+B28</f>
        <v/>
      </c>
      <c r="C29" s="30">
        <f>C27+C28</f>
        <v/>
      </c>
      <c r="D29" s="30">
        <f>D27+D28</f>
        <v/>
      </c>
      <c r="E29" s="30">
        <f>E27+E28</f>
        <v/>
      </c>
      <c r="F29" s="30">
        <f>F27+F28</f>
        <v/>
      </c>
      <c r="G29" s="30">
        <f>SUM(B29:F29)</f>
        <v/>
      </c>
    </row>
    <row r="30">
      <c r="A30" s="9" t="inlineStr">
        <is>
          <t>Tax shield = deductions x CIT rate</t>
        </is>
      </c>
      <c r="B30" s="33">
        <f>ROUND(B29*CIT_Rate,0)</f>
        <v/>
      </c>
      <c r="C30" s="33">
        <f>ROUND(C29*CIT_Rate,0)</f>
        <v/>
      </c>
      <c r="D30" s="33">
        <f>ROUND(D29*CIT_Rate,0)</f>
        <v/>
      </c>
      <c r="E30" s="33">
        <f>ROUND(E29*CIT_Rate,0)</f>
        <v/>
      </c>
      <c r="F30" s="33">
        <f>ROUND(F29*CIT_Rate,0)</f>
        <v/>
      </c>
      <c r="G30" s="30">
        <f>SUM(B30:F30)</f>
        <v/>
      </c>
    </row>
    <row r="31">
      <c r="A31" s="9" t="inlineStr">
        <is>
          <t>Pre-tax cash payments = capital repayment + finance charge</t>
        </is>
      </c>
      <c r="B31" s="33">
        <f>B18+B28</f>
        <v/>
      </c>
      <c r="C31" s="33">
        <f>C18+C28</f>
        <v/>
      </c>
      <c r="D31" s="33">
        <f>D18+D28</f>
        <v/>
      </c>
      <c r="E31" s="33">
        <f>E18+E28</f>
        <v/>
      </c>
      <c r="F31" s="33">
        <f>F18+F28</f>
        <v/>
      </c>
      <c r="G31" s="30">
        <f>SUM(B31:F31)</f>
        <v/>
      </c>
    </row>
    <row r="32"/>
    <row r="33">
      <c r="A33" s="5" t="inlineStr">
        <is>
          <t>Operating lease</t>
        </is>
      </c>
    </row>
    <row r="34">
      <c r="A34" s="9" t="inlineStr">
        <is>
          <t>Rent</t>
        </is>
      </c>
      <c r="B34" s="33">
        <f>$B$9</f>
        <v/>
      </c>
      <c r="C34" s="33">
        <f>$B$9</f>
        <v/>
      </c>
      <c r="D34" s="33">
        <f>$B$9</f>
        <v/>
      </c>
      <c r="E34" s="33">
        <f>$B$9</f>
        <v/>
      </c>
      <c r="F34" s="33">
        <f>$B$9</f>
        <v/>
      </c>
      <c r="G34" s="30">
        <f>SUM(B34:F34)</f>
        <v/>
      </c>
    </row>
    <row r="35">
      <c r="A35" s="8" t="inlineStr">
        <is>
          <t>Deduction (generally deductible: confirm)</t>
        </is>
      </c>
      <c r="B35" s="30">
        <f>B34</f>
        <v/>
      </c>
      <c r="C35" s="30">
        <f>C34</f>
        <v/>
      </c>
      <c r="D35" s="30">
        <f>D34</f>
        <v/>
      </c>
      <c r="E35" s="30">
        <f>E34</f>
        <v/>
      </c>
      <c r="F35" s="30">
        <f>F34</f>
        <v/>
      </c>
      <c r="G35" s="30">
        <f>SUM(B35:F35)</f>
        <v/>
      </c>
    </row>
    <row r="36">
      <c r="A36" s="9" t="inlineStr">
        <is>
          <t>Tax shield = deduction x CIT rate</t>
        </is>
      </c>
      <c r="B36" s="33">
        <f>ROUND(B35*CIT_Rate,0)</f>
        <v/>
      </c>
      <c r="C36" s="33">
        <f>ROUND(C35*CIT_Rate,0)</f>
        <v/>
      </c>
      <c r="D36" s="33">
        <f>ROUND(D35*CIT_Rate,0)</f>
        <v/>
      </c>
      <c r="E36" s="33">
        <f>ROUND(E35*CIT_Rate,0)</f>
        <v/>
      </c>
      <c r="F36" s="33">
        <f>ROUND(F35*CIT_Rate,0)</f>
        <v/>
      </c>
      <c r="G36" s="30">
        <f>SUM(B36:F36)</f>
        <v/>
      </c>
    </row>
    <row r="37">
      <c r="A37" s="9" t="inlineStr">
        <is>
          <t>Pre-tax cash payments = rent</t>
        </is>
      </c>
      <c r="B37" s="33">
        <f>B34</f>
        <v/>
      </c>
      <c r="C37" s="33">
        <f>C34</f>
        <v/>
      </c>
      <c r="D37" s="33">
        <f>D34</f>
        <v/>
      </c>
      <c r="E37" s="33">
        <f>E34</f>
        <v/>
      </c>
      <c r="F37" s="33">
        <f>F34</f>
        <v/>
      </c>
      <c r="G37" s="30">
        <f>SUM(B37:F37)</f>
        <v/>
      </c>
    </row>
    <row r="38"/>
    <row r="39">
      <c r="A39" s="5" t="inlineStr">
        <is>
          <t>MAT test</t>
        </is>
      </c>
    </row>
    <row r="40">
      <c r="A40" s="9" t="inlineStr">
        <is>
          <t>Regular tax without the asset</t>
        </is>
      </c>
      <c r="B40" s="33">
        <f>ROUND(MAX(0,$B$11)*CIT_Rate,0)</f>
        <v/>
      </c>
      <c r="C40" s="33">
        <f>ROUND(MAX(0,$B$11)*CIT_Rate,0)</f>
        <v/>
      </c>
      <c r="D40" s="33">
        <f>ROUND(MAX(0,$B$11)*CIT_Rate,0)</f>
        <v/>
      </c>
      <c r="E40" s="33">
        <f>ROUND(MAX(0,$B$11)*CIT_Rate,0)</f>
        <v/>
      </c>
      <c r="F40" s="33">
        <f>ROUND(MAX(0,$B$11)*CIT_Rate,0)</f>
        <v/>
      </c>
      <c r="G40" s="30">
        <f>SUM(B40:F40)</f>
        <v/>
      </c>
    </row>
    <row r="41">
      <c r="A41" s="9" t="inlineStr">
        <is>
          <t>MAT = turnover x MAT rate</t>
        </is>
      </c>
      <c r="B41" s="33">
        <f>ROUND($B$10*MAT_Rate,0)</f>
        <v/>
      </c>
      <c r="C41" s="33">
        <f>ROUND($B$10*MAT_Rate,0)</f>
        <v/>
      </c>
      <c r="D41" s="33">
        <f>ROUND($B$10*MAT_Rate,0)</f>
        <v/>
      </c>
      <c r="E41" s="33">
        <f>ROUND($B$10*MAT_Rate,0)</f>
        <v/>
      </c>
      <c r="F41" s="33">
        <f>ROUND($B$10*MAT_Rate,0)</f>
        <v/>
      </c>
      <c r="G41" s="30">
        <f>SUM(B41:F41)</f>
        <v/>
      </c>
    </row>
    <row r="42">
      <c r="A42" s="9" t="inlineStr">
        <is>
          <t>Regular tax with the asset: buy</t>
        </is>
      </c>
      <c r="B42" s="33">
        <f>ROUND(MAX(0,$B$11-B22)*CIT_Rate,0)</f>
        <v/>
      </c>
      <c r="C42" s="33">
        <f>ROUND(MAX(0,$B$11-C22)*CIT_Rate,0)</f>
        <v/>
      </c>
      <c r="D42" s="33">
        <f>ROUND(MAX(0,$B$11-D22)*CIT_Rate,0)</f>
        <v/>
      </c>
      <c r="E42" s="33">
        <f>ROUND(MAX(0,$B$11-E22)*CIT_Rate,0)</f>
        <v/>
      </c>
      <c r="F42" s="33">
        <f>ROUND(MAX(0,$B$11-F22)*CIT_Rate,0)</f>
        <v/>
      </c>
      <c r="G42" s="30">
        <f>SUM(B42:F42)</f>
        <v/>
      </c>
    </row>
    <row r="43">
      <c r="A43" s="9" t="inlineStr">
        <is>
          <t>Regular tax with the asset: hire purchase</t>
        </is>
      </c>
      <c r="B43" s="33">
        <f>ROUND(MAX(0,$B$11-B29)*CIT_Rate,0)</f>
        <v/>
      </c>
      <c r="C43" s="33">
        <f>ROUND(MAX(0,$B$11-C29)*CIT_Rate,0)</f>
        <v/>
      </c>
      <c r="D43" s="33">
        <f>ROUND(MAX(0,$B$11-D29)*CIT_Rate,0)</f>
        <v/>
      </c>
      <c r="E43" s="33">
        <f>ROUND(MAX(0,$B$11-E29)*CIT_Rate,0)</f>
        <v/>
      </c>
      <c r="F43" s="33">
        <f>ROUND(MAX(0,$B$11-F29)*CIT_Rate,0)</f>
        <v/>
      </c>
      <c r="G43" s="30">
        <f>SUM(B43:F43)</f>
        <v/>
      </c>
    </row>
    <row r="44">
      <c r="A44" s="9" t="inlineStr">
        <is>
          <t>Regular tax with the asset: operating lease</t>
        </is>
      </c>
      <c r="B44" s="33">
        <f>ROUND(MAX(0,$B$11-B35)*CIT_Rate,0)</f>
        <v/>
      </c>
      <c r="C44" s="33">
        <f>ROUND(MAX(0,$B$11-C35)*CIT_Rate,0)</f>
        <v/>
      </c>
      <c r="D44" s="33">
        <f>ROUND(MAX(0,$B$11-D35)*CIT_Rate,0)</f>
        <v/>
      </c>
      <c r="E44" s="33">
        <f>ROUND(MAX(0,$B$11-E35)*CIT_Rate,0)</f>
        <v/>
      </c>
      <c r="F44" s="33">
        <f>ROUND(MAX(0,$B$11-F35)*CIT_Rate,0)</f>
        <v/>
      </c>
      <c r="G44" s="30">
        <f>SUM(B44:F44)</f>
        <v/>
      </c>
    </row>
    <row r="45" ht="33" customHeight="1">
      <c r="A45" s="8" t="inlineStr">
        <is>
          <t>Cash tax saving: buy = MAX(regular without, MAT) minus MAX(regular with, MAT)</t>
        </is>
      </c>
      <c r="B45" s="30">
        <f>MAX(B40,B41)-MAX(B42,B41)</f>
        <v/>
      </c>
      <c r="C45" s="30">
        <f>MAX(C40,C41)-MAX(C42,C41)</f>
        <v/>
      </c>
      <c r="D45" s="30">
        <f>MAX(D40,D41)-MAX(D42,D41)</f>
        <v/>
      </c>
      <c r="E45" s="30">
        <f>MAX(E40,E41)-MAX(E42,E41)</f>
        <v/>
      </c>
      <c r="F45" s="30">
        <f>MAX(F40,F41)-MAX(F42,F41)</f>
        <v/>
      </c>
      <c r="G45" s="30">
        <f>SUM(B45:F45)</f>
        <v/>
      </c>
    </row>
    <row r="46" ht="33" customHeight="1">
      <c r="A46" s="8" t="inlineStr">
        <is>
          <t>Cash tax saving: hire purchase = MAX(regular without, MAT) minus MAX(regular with, MAT)</t>
        </is>
      </c>
      <c r="B46" s="30">
        <f>MAX(B40,B41)-MAX(B43,B41)</f>
        <v/>
      </c>
      <c r="C46" s="30">
        <f>MAX(C40,C41)-MAX(C43,C41)</f>
        <v/>
      </c>
      <c r="D46" s="30">
        <f>MAX(D40,D41)-MAX(D43,D41)</f>
        <v/>
      </c>
      <c r="E46" s="30">
        <f>MAX(E40,E41)-MAX(E43,E41)</f>
        <v/>
      </c>
      <c r="F46" s="30">
        <f>MAX(F40,F41)-MAX(F43,F41)</f>
        <v/>
      </c>
      <c r="G46" s="30">
        <f>SUM(B46:F46)</f>
        <v/>
      </c>
    </row>
    <row r="47" ht="33" customHeight="1">
      <c r="A47" s="8" t="inlineStr">
        <is>
          <t>Cash tax saving: operating lease = MAX(regular without, MAT) minus MAX(regular with, MAT)</t>
        </is>
      </c>
      <c r="B47" s="30">
        <f>MAX(B40,B41)-MAX(B44,B41)</f>
        <v/>
      </c>
      <c r="C47" s="30">
        <f>MAX(C40,C41)-MAX(C44,C41)</f>
        <v/>
      </c>
      <c r="D47" s="30">
        <f>MAX(D40,D41)-MAX(D44,D41)</f>
        <v/>
      </c>
      <c r="E47" s="30">
        <f>MAX(E40,E41)-MAX(E44,E41)</f>
        <v/>
      </c>
      <c r="F47" s="30">
        <f>MAX(F40,F41)-MAX(F44,F41)</f>
        <v/>
      </c>
      <c r="G47" s="30">
        <f>SUM(B47:F47)</f>
        <v/>
      </c>
    </row>
    <row r="48"/>
    <row r="49">
      <c r="A49" s="5" t="inlineStr">
        <is>
          <t>After-tax cash flows and NPV</t>
        </is>
      </c>
    </row>
    <row r="50">
      <c r="A50" s="9" t="inlineStr">
        <is>
          <t>Buy with a loan = minus payments + cash tax saving</t>
        </is>
      </c>
      <c r="B50" s="33">
        <f>-B24+B45</f>
        <v/>
      </c>
      <c r="C50" s="33">
        <f>-C24+C45</f>
        <v/>
      </c>
      <c r="D50" s="33">
        <f>-D24+D45</f>
        <v/>
      </c>
      <c r="E50" s="33">
        <f>-E24+E45</f>
        <v/>
      </c>
      <c r="F50" s="33">
        <f>-F24+F45</f>
        <v/>
      </c>
      <c r="G50" s="30">
        <f>SUM(B50:F50)</f>
        <v/>
      </c>
    </row>
    <row r="51">
      <c r="A51" s="9" t="inlineStr">
        <is>
          <t>Hire purchase = minus payments + cash tax saving</t>
        </is>
      </c>
      <c r="B51" s="33">
        <f>-B31+B46</f>
        <v/>
      </c>
      <c r="C51" s="33">
        <f>-C31+C46</f>
        <v/>
      </c>
      <c r="D51" s="33">
        <f>-D31+D46</f>
        <v/>
      </c>
      <c r="E51" s="33">
        <f>-E31+E46</f>
        <v/>
      </c>
      <c r="F51" s="33">
        <f>-F31+F46</f>
        <v/>
      </c>
      <c r="G51" s="30">
        <f>SUM(B51:F51)</f>
        <v/>
      </c>
    </row>
    <row r="52">
      <c r="A52" s="9" t="inlineStr">
        <is>
          <t>Operating lease = minus payments + cash tax saving</t>
        </is>
      </c>
      <c r="B52" s="33">
        <f>-B37+B47</f>
        <v/>
      </c>
      <c r="C52" s="33">
        <f>-C37+C47</f>
        <v/>
      </c>
      <c r="D52" s="33">
        <f>-D37+D47</f>
        <v/>
      </c>
      <c r="E52" s="33">
        <f>-E37+E47</f>
        <v/>
      </c>
      <c r="F52" s="33">
        <f>-F37+F47</f>
        <v/>
      </c>
      <c r="G52" s="30">
        <f>SUM(B52:F52)</f>
        <v/>
      </c>
    </row>
    <row r="53"/>
    <row r="54" ht="20" customHeight="1">
      <c r="A54" s="6" t="inlineStr">
        <is>
          <t>Summary by option</t>
        </is>
      </c>
      <c r="B54" s="6" t="inlineStr">
        <is>
          <t>Buy with a loan</t>
        </is>
      </c>
      <c r="C54" s="6" t="inlineStr">
        <is>
          <t>Hire purchase</t>
        </is>
      </c>
      <c r="D54" s="6" t="inlineStr">
        <is>
          <t>Operating lease</t>
        </is>
      </c>
      <c r="E54" s="6" t="inlineStr"/>
      <c r="F54" s="6" t="inlineStr"/>
      <c r="G54" s="6" t="inlineStr"/>
    </row>
    <row r="55">
      <c r="A55" s="8" t="inlineStr">
        <is>
          <t>Year-1 deductions</t>
        </is>
      </c>
      <c r="B55" s="33">
        <f>B22</f>
        <v/>
      </c>
      <c r="C55" s="33">
        <f>B29</f>
        <v/>
      </c>
      <c r="D55" s="33">
        <f>B35</f>
        <v/>
      </c>
    </row>
    <row r="56">
      <c r="A56" s="8" t="inlineStr">
        <is>
          <t>Year-1 tax shield</t>
        </is>
      </c>
      <c r="B56" s="33">
        <f>B23</f>
        <v/>
      </c>
      <c r="C56" s="33">
        <f>B30</f>
        <v/>
      </c>
      <c r="D56" s="33">
        <f>B36</f>
        <v/>
      </c>
    </row>
    <row r="57">
      <c r="A57" s="8" t="inlineStr">
        <is>
          <t>Year-1 cash tax saving after the MAT test</t>
        </is>
      </c>
      <c r="B57" s="33">
        <f>B45</f>
        <v/>
      </c>
      <c r="C57" s="33">
        <f>B46</f>
        <v/>
      </c>
      <c r="D57" s="33">
        <f>B47</f>
        <v/>
      </c>
    </row>
    <row r="58">
      <c r="A58" s="8" t="inlineStr">
        <is>
          <t>Pre-tax cash cost over the years</t>
        </is>
      </c>
      <c r="B58" s="33">
        <f>G24</f>
        <v/>
      </c>
      <c r="C58" s="33">
        <f>G31</f>
        <v/>
      </c>
      <c r="D58" s="33">
        <f>G37</f>
        <v/>
      </c>
    </row>
    <row r="59">
      <c r="A59" s="8" t="inlineStr">
        <is>
          <t>NPV of after-tax cash flows at the discount rate</t>
        </is>
      </c>
      <c r="B59" s="30">
        <f>NPV($B$13,B50:F50)</f>
        <v/>
      </c>
      <c r="C59" s="30">
        <f>NPV($B$13,B51:F51)</f>
        <v/>
      </c>
      <c r="D59" s="30">
        <f>NPV($B$13,B52:F52)</f>
        <v/>
      </c>
    </row>
    <row r="60"/>
    <row r="61" ht="48" customHeight="1">
      <c r="A61" s="32" t="inlineStr">
        <is>
          <t>VAT: payments to a lessor under capital goods finance were VAT-exempt under Proclamation No. 103/1998 as amended by No. 807/2013, Art. 16(3): confirm after VAT Proclamation No. 1341/2024. Licensing: operating lease needs a Ministry of Trade license; capital goods finance needs an NBE license. While MAT binds, no option saves cash tax: choose on pre-tax cost, flexibility and the trucks' end value (residual value is not included in the NPV).</t>
        </is>
      </c>
    </row>
    <row r="62"/>
    <row r="63">
      <c r="A63" s="10" t="inlineStr">
        <is>
          <t>Legal tax minimization only. Figures marked 'confirm' must be checked with the Ministry of Revenues or a tax adviser before use.</t>
        </is>
      </c>
      <c r="B63" s="11" t="n"/>
      <c r="C63" s="11" t="n"/>
      <c r="D63" s="11" t="n"/>
      <c r="E63" s="11" t="n"/>
      <c r="F63" s="11" t="n"/>
      <c r="G63" s="11" t="n"/>
    </row>
  </sheetData>
  <mergeCells count="13">
    <mergeCell ref="C4:G4"/>
    <mergeCell ref="C7:G7"/>
    <mergeCell ref="A61:G61"/>
    <mergeCell ref="C12:G12"/>
    <mergeCell ref="C6:G6"/>
    <mergeCell ref="C10:G10"/>
    <mergeCell ref="A63:G63"/>
    <mergeCell ref="C11:G11"/>
    <mergeCell ref="C5:G5"/>
    <mergeCell ref="A2:G2"/>
    <mergeCell ref="C13:G13"/>
    <mergeCell ref="C8:G8"/>
    <mergeCell ref="C9:G9"/>
  </mergeCells>
  <dataValidations count="1">
    <dataValidation sqref="B6" showDropDown="0" showInputMessage="0" showErrorMessage="0" allowBlank="1" errorTitle="Invalid entry" error="Choose a value from the list." type="list">
      <formula1>"SL,DV"</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6.xml><?xml version="1.0" encoding="utf-8"?>
<worksheet xmlns="http://schemas.openxmlformats.org/spreadsheetml/2006/main">
  <sheetPr>
    <tabColor rgb="000F4C3A"/>
    <outlinePr summaryBelow="1" summaryRight="1"/>
    <pageSetUpPr fitToPage="1"/>
  </sheetPr>
  <dimension ref="A1:I58"/>
  <sheetViews>
    <sheetView showGridLines="0" workbookViewId="0">
      <pane ySplit="3" topLeftCell="A4" activePane="bottomLeft" state="frozen"/>
      <selection pane="bottomLeft" activeCell="A1" sqref="A1"/>
    </sheetView>
  </sheetViews>
  <sheetFormatPr baseColWidth="8" defaultRowHeight="15"/>
  <cols>
    <col width="46" customWidth="1" min="1" max="1"/>
    <col width="17" customWidth="1" min="2" max="2"/>
    <col width="17" customWidth="1" min="3" max="3"/>
    <col width="16" customWidth="1" min="4" max="4"/>
    <col width="17" customWidth="1" min="5" max="5"/>
    <col width="16" customWidth="1" min="6" max="6"/>
    <col width="16" customWidth="1" min="7" max="7"/>
    <col width="18" customWidth="1" min="8" max="8"/>
    <col width="16" customWidth="1" min="9" max="9"/>
  </cols>
  <sheetData>
    <row r="1" ht="26" customHeight="1">
      <c r="A1" s="1" t="inlineStr">
        <is>
          <t>Incentive comparison: Tekeze Agro-Processing PLC and the Packaging election</t>
        </is>
      </c>
      <c r="B1" s="2" t="n"/>
      <c r="C1" s="2" t="n"/>
      <c r="D1" s="2" t="n"/>
      <c r="E1" s="2" t="n"/>
      <c r="F1" s="2" t="n"/>
      <c r="G1" s="2" t="n"/>
      <c r="H1" s="2" t="n"/>
      <c r="I1" s="2" t="n"/>
    </row>
    <row r="2">
      <c r="A2" s="13" t="inlineStr">
        <is>
          <t>Choose the incentive route and enter the projection; MAT is the floor in every year. The saving is measured against the standard regime, which has the same MAT floor.</t>
        </is>
      </c>
    </row>
    <row r="3"/>
    <row r="4" ht="20" customHeight="1">
      <c r="A4" s="6" t="inlineStr">
        <is>
          <t>Input</t>
        </is>
      </c>
      <c r="B4" s="6" t="inlineStr">
        <is>
          <t>Value</t>
        </is>
      </c>
      <c r="C4" s="6" t="inlineStr">
        <is>
          <t>Note</t>
        </is>
      </c>
      <c r="D4" s="23" t="n"/>
      <c r="E4" s="23" t="n"/>
      <c r="F4" s="23" t="n"/>
      <c r="G4" s="23" t="n"/>
      <c r="H4" s="23" t="n"/>
      <c r="I4" s="22" t="n"/>
    </row>
    <row r="5" ht="33" customHeight="1">
      <c r="A5" s="8" t="inlineStr">
        <is>
          <t>Project name</t>
        </is>
      </c>
      <c r="B5" s="15" t="inlineStr">
        <is>
          <t>Tekeze Agro-Processing PLC</t>
        </is>
      </c>
      <c r="C5" s="35" t="inlineStr"/>
    </row>
    <row r="6">
      <c r="A6" s="8" t="inlineStr">
        <is>
          <t>Investment (USD)</t>
        </is>
      </c>
      <c r="B6" s="19" t="n">
        <v>14000000</v>
      </c>
      <c r="C6" s="35" t="inlineStr"/>
    </row>
    <row r="7">
      <c r="A7" s="8" t="inlineStr">
        <is>
          <t>Incentive route</t>
        </is>
      </c>
      <c r="B7" s="15" t="inlineStr">
        <is>
          <t>15% priority sector</t>
        </is>
      </c>
      <c r="C7" s="35" t="inlineStr">
        <is>
          <t>Regulation No. 586/2026</t>
        </is>
      </c>
    </row>
    <row r="8">
      <c r="A8" s="8" t="inlineStr">
        <is>
          <t>Incentive rate (lookup)</t>
        </is>
      </c>
      <c r="B8" s="21">
        <f>VLOOKUP(B7,Routes,2,FALSE)</f>
        <v/>
      </c>
      <c r="C8" s="35" t="inlineStr"/>
    </row>
    <row r="9">
      <c r="A9" s="8" t="inlineStr">
        <is>
          <t>Incentive years (input)</t>
        </is>
      </c>
      <c r="B9" s="17" t="n">
        <v>5</v>
      </c>
      <c r="C9" s="35" t="inlineStr">
        <is>
          <t>Table 1 durations not confirmed: confirm</t>
        </is>
      </c>
    </row>
    <row r="10" ht="33" customHeight="1">
      <c r="A10" s="8" t="inlineStr">
        <is>
          <t>MAT exempt? (lookup: Yes only for SEZ developers, 10 years)</t>
        </is>
      </c>
      <c r="B10" s="36">
        <f>VLOOKUP(B7,Routes,3,FALSE)</f>
        <v/>
      </c>
      <c r="C10" s="35" t="inlineStr"/>
    </row>
    <row r="11">
      <c r="A11" s="8" t="inlineStr">
        <is>
          <t>Eligible capital goods for the 50% deduction (Birr)</t>
        </is>
      </c>
      <c r="B11" s="18" t="n">
        <v>500000000</v>
      </c>
      <c r="C11" s="35" t="inlineStr"/>
    </row>
    <row r="12">
      <c r="A12" s="8" t="inlineStr">
        <is>
          <t>Performance agreement signed?</t>
        </is>
      </c>
      <c r="B12" s="15" t="inlineStr">
        <is>
          <t>Yes</t>
        </is>
      </c>
      <c r="C12" s="35" t="inlineStr">
        <is>
          <t>Required before any incentive applies (Art. 26)</t>
        </is>
      </c>
    </row>
    <row r="13"/>
    <row r="14">
      <c r="A14" s="5" t="inlineStr">
        <is>
          <t>Eligibility checks</t>
        </is>
      </c>
    </row>
    <row r="15" ht="33" customHeight="1">
      <c r="A15" s="8" t="inlineStr">
        <is>
          <t>Investment at or above USD 10 million for reduced rates</t>
        </is>
      </c>
      <c r="B15" s="31">
        <f>IF(B6&gt;=Incentive_MinUSD,"OK","Below USD 10 million: check MoF directive route")</f>
        <v/>
      </c>
      <c r="C15" s="35" t="inlineStr"/>
    </row>
    <row r="16" ht="33" customHeight="1">
      <c r="A16" s="8" t="inlineStr">
        <is>
          <t>Investment at or above USD 2 million for the 50% deduction</t>
        </is>
      </c>
      <c r="B16" s="31">
        <f>IF(B6&gt;=CapDeduction_MinUSD,"OK","Below USD 2 million: no 50% deduction")</f>
        <v/>
      </c>
      <c r="C16" s="35" t="inlineStr"/>
    </row>
    <row r="17">
      <c r="A17" s="8" t="inlineStr">
        <is>
          <t>Performance agreement</t>
        </is>
      </c>
      <c r="B17" s="31">
        <f>IF(B12="Yes","OK","No incentive applies, Art. 26")</f>
        <v/>
      </c>
      <c r="C17" s="35" t="inlineStr"/>
    </row>
    <row r="18">
      <c r="A18" s="8" t="inlineStr">
        <is>
          <t>Rate used in the year table</t>
        </is>
      </c>
      <c r="B18" s="38">
        <f>IF(AND(B15="OK",B17="OK"),B8,CIT_Rate)</f>
        <v/>
      </c>
      <c r="C18" s="35" t="inlineStr"/>
    </row>
    <row r="19" ht="33" customHeight="1">
      <c r="A19" s="8" t="inlineStr">
        <is>
          <t>Start-year 50% deduction = eligible capital goods x 50%</t>
        </is>
      </c>
      <c r="B19" s="30">
        <f>IF(B16="OK",ROUND(B11*CapDeduction_Rate,0),0)</f>
        <v/>
      </c>
      <c r="C19" s="35" t="inlineStr">
        <is>
          <t>Creates a loss carried forward for up to 5 years in the start year; interaction with ordinary depreciation to confirm.</t>
        </is>
      </c>
    </row>
    <row r="20"/>
    <row r="21" ht="48" customHeight="1">
      <c r="A21" s="6" t="inlineStr">
        <is>
          <t>Year</t>
        </is>
      </c>
      <c r="B21" s="6" t="inlineStr">
        <is>
          <t>Turnover (Birr)</t>
        </is>
      </c>
      <c r="C21" s="6" t="inlineStr">
        <is>
          <t>Taxable income (Birr)</t>
        </is>
      </c>
      <c r="D21" s="6" t="inlineStr">
        <is>
          <t>Tax at 30% (Birr)</t>
        </is>
      </c>
      <c r="E21" s="6" t="inlineStr">
        <is>
          <t>Tax at incentive rate (Birr)</t>
        </is>
      </c>
      <c r="F21" s="6" t="inlineStr">
        <is>
          <t>MAT (Birr)</t>
        </is>
      </c>
      <c r="G21" s="6" t="inlineStr">
        <is>
          <t>Tax payable (Birr)</t>
        </is>
      </c>
      <c r="H21" s="6" t="inlineStr">
        <is>
          <t>Payable without incentive (Birr)</t>
        </is>
      </c>
      <c r="I21" s="6" t="inlineStr">
        <is>
          <t>Saving (Birr)</t>
        </is>
      </c>
    </row>
    <row r="22">
      <c r="A22" s="31" t="n">
        <v>1</v>
      </c>
      <c r="B22" s="18" t="n">
        <v>300000000</v>
      </c>
      <c r="C22" s="18" t="n">
        <v>30000000</v>
      </c>
      <c r="D22" s="33">
        <f>ROUND(MAX(0,C22)*CIT_Rate,0)</f>
        <v/>
      </c>
      <c r="E22" s="33">
        <f>IF(A22&lt;=$B$9,ROUND(MAX(0,C22)*$B$18,0),D22)</f>
        <v/>
      </c>
      <c r="F22" s="33">
        <f>IF(AND($B$10="Yes",A22&lt;=10),0,ROUND(B22*MAT_Rate,0))</f>
        <v/>
      </c>
      <c r="G22" s="30">
        <f>MAX(E22,F22)</f>
        <v/>
      </c>
      <c r="H22" s="33">
        <f>MAX(D22,ROUND(B22*MAT_Rate,0))</f>
        <v/>
      </c>
      <c r="I22" s="30">
        <f>H22-G22</f>
        <v/>
      </c>
    </row>
    <row r="23">
      <c r="A23" s="31" t="n">
        <v>2</v>
      </c>
      <c r="B23" s="18" t="n">
        <v>450000000</v>
      </c>
      <c r="C23" s="18" t="n">
        <v>60000000</v>
      </c>
      <c r="D23" s="33">
        <f>ROUND(MAX(0,C23)*CIT_Rate,0)</f>
        <v/>
      </c>
      <c r="E23" s="33">
        <f>IF(A23&lt;=$B$9,ROUND(MAX(0,C23)*$B$18,0),D23)</f>
        <v/>
      </c>
      <c r="F23" s="33">
        <f>IF(AND($B$10="Yes",A23&lt;=10),0,ROUND(B23*MAT_Rate,0))</f>
        <v/>
      </c>
      <c r="G23" s="30">
        <f>MAX(E23,F23)</f>
        <v/>
      </c>
      <c r="H23" s="33">
        <f>MAX(D23,ROUND(B23*MAT_Rate,0))</f>
        <v/>
      </c>
      <c r="I23" s="30">
        <f>H23-G23</f>
        <v/>
      </c>
    </row>
    <row r="24">
      <c r="A24" s="31" t="n">
        <v>3</v>
      </c>
      <c r="B24" s="18" t="n">
        <v>600000000</v>
      </c>
      <c r="C24" s="18" t="n">
        <v>90000000</v>
      </c>
      <c r="D24" s="33">
        <f>ROUND(MAX(0,C24)*CIT_Rate,0)</f>
        <v/>
      </c>
      <c r="E24" s="33">
        <f>IF(A24&lt;=$B$9,ROUND(MAX(0,C24)*$B$18,0),D24)</f>
        <v/>
      </c>
      <c r="F24" s="33">
        <f>IF(AND($B$10="Yes",A24&lt;=10),0,ROUND(B24*MAT_Rate,0))</f>
        <v/>
      </c>
      <c r="G24" s="30">
        <f>MAX(E24,F24)</f>
        <v/>
      </c>
      <c r="H24" s="33">
        <f>MAX(D24,ROUND(B24*MAT_Rate,0))</f>
        <v/>
      </c>
      <c r="I24" s="30">
        <f>H24-G24</f>
        <v/>
      </c>
    </row>
    <row r="25">
      <c r="A25" s="31" t="n">
        <v>4</v>
      </c>
      <c r="B25" s="18" t="n">
        <v>600000000</v>
      </c>
      <c r="C25" s="18" t="n">
        <v>40000000</v>
      </c>
      <c r="D25" s="33">
        <f>ROUND(MAX(0,C25)*CIT_Rate,0)</f>
        <v/>
      </c>
      <c r="E25" s="33">
        <f>IF(A25&lt;=$B$9,ROUND(MAX(0,C25)*$B$18,0),D25)</f>
        <v/>
      </c>
      <c r="F25" s="33">
        <f>IF(AND($B$10="Yes",A25&lt;=10),0,ROUND(B25*MAT_Rate,0))</f>
        <v/>
      </c>
      <c r="G25" s="30">
        <f>MAX(E25,F25)</f>
        <v/>
      </c>
      <c r="H25" s="33">
        <f>MAX(D25,ROUND(B25*MAT_Rate,0))</f>
        <v/>
      </c>
      <c r="I25" s="30">
        <f>H25-G25</f>
        <v/>
      </c>
    </row>
    <row r="26">
      <c r="A26" s="31" t="n">
        <v>5</v>
      </c>
      <c r="B26" s="18" t="n">
        <v>650000000</v>
      </c>
      <c r="C26" s="18" t="n">
        <v>100000000</v>
      </c>
      <c r="D26" s="33">
        <f>ROUND(MAX(0,C26)*CIT_Rate,0)</f>
        <v/>
      </c>
      <c r="E26" s="33">
        <f>IF(A26&lt;=$B$9,ROUND(MAX(0,C26)*$B$18,0),D26)</f>
        <v/>
      </c>
      <c r="F26" s="33">
        <f>IF(AND($B$10="Yes",A26&lt;=10),0,ROUND(B26*MAT_Rate,0))</f>
        <v/>
      </c>
      <c r="G26" s="30">
        <f>MAX(E26,F26)</f>
        <v/>
      </c>
      <c r="H26" s="33">
        <f>MAX(D26,ROUND(B26*MAT_Rate,0))</f>
        <v/>
      </c>
      <c r="I26" s="30">
        <f>H26-G26</f>
        <v/>
      </c>
    </row>
    <row r="27">
      <c r="A27" s="31" t="n">
        <v>6</v>
      </c>
      <c r="B27" s="18" t="n">
        <v>700000000</v>
      </c>
      <c r="C27" s="18" t="n">
        <v>110000000</v>
      </c>
      <c r="D27" s="33">
        <f>ROUND(MAX(0,C27)*CIT_Rate,0)</f>
        <v/>
      </c>
      <c r="E27" s="33">
        <f>IF(A27&lt;=$B$9,ROUND(MAX(0,C27)*$B$18,0),D27)</f>
        <v/>
      </c>
      <c r="F27" s="33">
        <f>IF(AND($B$10="Yes",A27&lt;=10),0,ROUND(B27*MAT_Rate,0))</f>
        <v/>
      </c>
      <c r="G27" s="30">
        <f>MAX(E27,F27)</f>
        <v/>
      </c>
      <c r="H27" s="33">
        <f>MAX(D27,ROUND(B27*MAT_Rate,0))</f>
        <v/>
      </c>
      <c r="I27" s="30">
        <f>H27-G27</f>
        <v/>
      </c>
    </row>
    <row r="28">
      <c r="A28" s="31" t="n">
        <v>7</v>
      </c>
      <c r="B28" s="18" t="n">
        <v>700000000</v>
      </c>
      <c r="C28" s="18" t="n">
        <v>110000000</v>
      </c>
      <c r="D28" s="33">
        <f>ROUND(MAX(0,C28)*CIT_Rate,0)</f>
        <v/>
      </c>
      <c r="E28" s="33">
        <f>IF(A28&lt;=$B$9,ROUND(MAX(0,C28)*$B$18,0),D28)</f>
        <v/>
      </c>
      <c r="F28" s="33">
        <f>IF(AND($B$10="Yes",A28&lt;=10),0,ROUND(B28*MAT_Rate,0))</f>
        <v/>
      </c>
      <c r="G28" s="30">
        <f>MAX(E28,F28)</f>
        <v/>
      </c>
      <c r="H28" s="33">
        <f>MAX(D28,ROUND(B28*MAT_Rate,0))</f>
        <v/>
      </c>
      <c r="I28" s="30">
        <f>H28-G28</f>
        <v/>
      </c>
    </row>
    <row r="29">
      <c r="A29" s="31" t="n">
        <v>8</v>
      </c>
      <c r="B29" s="18" t="n">
        <v>700000000</v>
      </c>
      <c r="C29" s="18" t="n">
        <v>110000000</v>
      </c>
      <c r="D29" s="33">
        <f>ROUND(MAX(0,C29)*CIT_Rate,0)</f>
        <v/>
      </c>
      <c r="E29" s="33">
        <f>IF(A29&lt;=$B$9,ROUND(MAX(0,C29)*$B$18,0),D29)</f>
        <v/>
      </c>
      <c r="F29" s="33">
        <f>IF(AND($B$10="Yes",A29&lt;=10),0,ROUND(B29*MAT_Rate,0))</f>
        <v/>
      </c>
      <c r="G29" s="30">
        <f>MAX(E29,F29)</f>
        <v/>
      </c>
      <c r="H29" s="33">
        <f>MAX(D29,ROUND(B29*MAT_Rate,0))</f>
        <v/>
      </c>
      <c r="I29" s="30">
        <f>H29-G29</f>
        <v/>
      </c>
    </row>
    <row r="30">
      <c r="A30" s="31" t="n">
        <v>9</v>
      </c>
      <c r="B30" s="18" t="n">
        <v>700000000</v>
      </c>
      <c r="C30" s="18" t="n">
        <v>110000000</v>
      </c>
      <c r="D30" s="33">
        <f>ROUND(MAX(0,C30)*CIT_Rate,0)</f>
        <v/>
      </c>
      <c r="E30" s="33">
        <f>IF(A30&lt;=$B$9,ROUND(MAX(0,C30)*$B$18,0),D30)</f>
        <v/>
      </c>
      <c r="F30" s="33">
        <f>IF(AND($B$10="Yes",A30&lt;=10),0,ROUND(B30*MAT_Rate,0))</f>
        <v/>
      </c>
      <c r="G30" s="30">
        <f>MAX(E30,F30)</f>
        <v/>
      </c>
      <c r="H30" s="33">
        <f>MAX(D30,ROUND(B30*MAT_Rate,0))</f>
        <v/>
      </c>
      <c r="I30" s="30">
        <f>H30-G30</f>
        <v/>
      </c>
    </row>
    <row r="31">
      <c r="A31" s="31" t="n">
        <v>10</v>
      </c>
      <c r="B31" s="18" t="n">
        <v>700000000</v>
      </c>
      <c r="C31" s="18" t="n">
        <v>110000000</v>
      </c>
      <c r="D31" s="33">
        <f>ROUND(MAX(0,C31)*CIT_Rate,0)</f>
        <v/>
      </c>
      <c r="E31" s="33">
        <f>IF(A31&lt;=$B$9,ROUND(MAX(0,C31)*$B$18,0),D31)</f>
        <v/>
      </c>
      <c r="F31" s="33">
        <f>IF(AND($B$10="Yes",A31&lt;=10),0,ROUND(B31*MAT_Rate,0))</f>
        <v/>
      </c>
      <c r="G31" s="30">
        <f>MAX(E31,F31)</f>
        <v/>
      </c>
      <c r="H31" s="33">
        <f>MAX(D31,ROUND(B31*MAT_Rate,0))</f>
        <v/>
      </c>
      <c r="I31" s="30">
        <f>H31-G31</f>
        <v/>
      </c>
    </row>
    <row r="32">
      <c r="A32" s="26" t="inlineStr">
        <is>
          <t>Total, 10 years</t>
        </is>
      </c>
      <c r="B32" s="26" t="inlineStr"/>
      <c r="C32" s="26" t="inlineStr"/>
      <c r="D32" s="34">
        <f>SUM(D22:D31)</f>
        <v/>
      </c>
      <c r="E32" s="34">
        <f>SUM(E22:E31)</f>
        <v/>
      </c>
      <c r="F32" s="34">
        <f>SUM(F22:F31)</f>
        <v/>
      </c>
      <c r="G32" s="34">
        <f>SUM(G22:G31)</f>
        <v/>
      </c>
      <c r="H32" s="34">
        <f>SUM(H22:H31)</f>
        <v/>
      </c>
      <c r="I32" s="34">
        <f>SUM(I22:I31)</f>
        <v/>
      </c>
    </row>
    <row r="33">
      <c r="A33" s="32" t="inlineStr">
        <is>
          <t>Sample year 3 shows the real saving of Birr 12,000,000 (not the headline 13,500,000) because MAT is the floor; in the weak year 4 the saving disappears (shown red). Projection figures are illustrative.</t>
        </is>
      </c>
    </row>
    <row r="34"/>
    <row r="35">
      <c r="A35" s="5" t="inlineStr">
        <is>
          <t>Block B: Tekeze Packaging PLC election (one year before 2028, illustrative)</t>
        </is>
      </c>
    </row>
    <row r="36" ht="20" customHeight="1">
      <c r="A36" s="6" t="inlineStr">
        <is>
          <t>Line</t>
        </is>
      </c>
      <c r="B36" s="6" t="inlineStr">
        <is>
          <t>Birr</t>
        </is>
      </c>
      <c r="C36" s="6" t="inlineStr">
        <is>
          <t>Note</t>
        </is>
      </c>
      <c r="D36" s="23" t="n"/>
      <c r="E36" s="23" t="n"/>
      <c r="F36" s="23" t="n"/>
      <c r="G36" s="23" t="n"/>
      <c r="H36" s="23" t="n"/>
      <c r="I36" s="22" t="n"/>
    </row>
    <row r="37">
      <c r="A37" s="8" t="inlineStr">
        <is>
          <t>Turnover</t>
        </is>
      </c>
      <c r="B37" s="18" t="n">
        <v>300000000</v>
      </c>
      <c r="C37" s="35" t="inlineStr"/>
    </row>
    <row r="38">
      <c r="A38" s="8" t="inlineStr">
        <is>
          <t>Taxable income</t>
        </is>
      </c>
      <c r="B38" s="18" t="n">
        <v>60000000</v>
      </c>
      <c r="C38" s="35" t="inlineStr"/>
    </row>
    <row r="39">
      <c r="A39" s="8" t="inlineStr">
        <is>
          <t>MAT applies during the holiday? (toggle)</t>
        </is>
      </c>
      <c r="B39" s="15" t="inlineStr">
        <is>
          <t>Yes</t>
        </is>
      </c>
      <c r="C39" s="35" t="inlineStr">
        <is>
          <t>Confirm with the Ministry of Revenues</t>
        </is>
      </c>
    </row>
    <row r="40">
      <c r="A40" s="8" t="inlineStr">
        <is>
          <t>New regime route</t>
        </is>
      </c>
      <c r="B40" s="15" t="inlineStr">
        <is>
          <t>15% SEZ enterprise</t>
        </is>
      </c>
      <c r="C40" s="35" t="inlineStr">
        <is>
          <t>Hawassa Industrial Park</t>
        </is>
      </c>
    </row>
    <row r="41">
      <c r="A41" s="8" t="inlineStr">
        <is>
          <t>Holiday: regular tax</t>
        </is>
      </c>
      <c r="B41" s="33">
        <f>0</f>
        <v/>
      </c>
      <c r="C41" s="35" t="inlineStr">
        <is>
          <t>Holiday under Regulation No. 517/2022 to 7 July 2028</t>
        </is>
      </c>
    </row>
    <row r="42">
      <c r="A42" s="8" t="inlineStr">
        <is>
          <t>Holiday: MAT if applicable</t>
        </is>
      </c>
      <c r="B42" s="33">
        <f>IF(B39="Yes",ROUND(B37*MAT_Rate,0),0)</f>
        <v/>
      </c>
      <c r="C42" s="35" t="inlineStr"/>
    </row>
    <row r="43">
      <c r="A43" s="8" t="inlineStr">
        <is>
          <t>Holiday: tax payable</t>
        </is>
      </c>
      <c r="B43" s="33">
        <f>MAX(B41,B42)</f>
        <v/>
      </c>
      <c r="C43" s="35" t="inlineStr"/>
    </row>
    <row r="44">
      <c r="A44" s="8" t="inlineStr">
        <is>
          <t>New regime: tax at the route rate</t>
        </is>
      </c>
      <c r="B44" s="33">
        <f>ROUND(B38*VLOOKUP(B40,Routes,2,FALSE),0)</f>
        <v/>
      </c>
      <c r="C44" s="35" t="inlineStr"/>
    </row>
    <row r="45">
      <c r="A45" s="8" t="inlineStr">
        <is>
          <t>New regime: MAT</t>
        </is>
      </c>
      <c r="B45" s="33">
        <f>ROUND(B37*MAT_Rate,0)</f>
        <v/>
      </c>
      <c r="C45" s="35" t="inlineStr"/>
    </row>
    <row r="46">
      <c r="A46" s="8" t="inlineStr">
        <is>
          <t>New regime: tax payable = higher of the two</t>
        </is>
      </c>
      <c r="B46" s="33">
        <f>MAX(B44,B45)</f>
        <v/>
      </c>
      <c r="C46" s="35" t="inlineStr"/>
    </row>
    <row r="47" ht="33" customHeight="1">
      <c r="A47" s="8" t="inlineStr">
        <is>
          <t>Annual cost of electing = new regime payable minus holiday payable</t>
        </is>
      </c>
      <c r="B47" s="30">
        <f>B46-B43</f>
        <v/>
      </c>
      <c r="C47" s="35" t="inlineStr">
        <is>
          <t>Range: Birr 1,500,000 if holiday MAT applies to Birr 9,000,000 if it does not</t>
        </is>
      </c>
    </row>
    <row r="48">
      <c r="A48" s="8" t="inlineStr">
        <is>
          <t>Annual cost if holiday MAT does not apply</t>
        </is>
      </c>
      <c r="B48" s="33">
        <f>B46-B41</f>
        <v/>
      </c>
      <c r="C48" s="35" t="inlineStr"/>
    </row>
    <row r="49">
      <c r="A49" s="8" t="inlineStr">
        <is>
          <t>Warning</t>
        </is>
      </c>
      <c r="B49" s="39">
        <f>"Election is irreversible (Regulation No. 586/2026, Art. 36)"</f>
        <v/>
      </c>
    </row>
    <row r="50"/>
    <row r="51">
      <c r="A51" s="5" t="inlineStr">
        <is>
          <t>Block C: performance agreement targets</t>
        </is>
      </c>
    </row>
    <row r="52" ht="33" customHeight="1">
      <c r="A52" s="6" t="inlineStr">
        <is>
          <t>Target</t>
        </is>
      </c>
      <c r="B52" s="6" t="inlineStr">
        <is>
          <t>Business plan figure</t>
        </is>
      </c>
      <c r="C52" s="6" t="inlineStr">
        <is>
          <t>Figure in draft agreement</t>
        </is>
      </c>
      <c r="D52" s="6" t="inlineStr">
        <is>
          <t>Evidence</t>
        </is>
      </c>
      <c r="E52" s="22" t="n"/>
      <c r="F52" s="6" t="inlineStr">
        <is>
          <t>Check</t>
        </is>
      </c>
    </row>
    <row r="53">
      <c r="A53" s="25" t="inlineStr">
        <is>
          <t>Export share, year 3</t>
        </is>
      </c>
      <c r="B53" s="14" t="n">
        <v>0.35</v>
      </c>
      <c r="C53" s="14" t="n">
        <v>0.35</v>
      </c>
      <c r="D53" s="25" t="inlineStr">
        <is>
          <t>Signed buyer contracts</t>
        </is>
      </c>
      <c r="F53" s="36">
        <f>IF(OR(B53="",C53=""),"",IF(C53&gt;B53,"Overstated","OK"))</f>
        <v/>
      </c>
    </row>
    <row r="54">
      <c r="A54" s="25" t="n"/>
      <c r="B54" s="14" t="n"/>
      <c r="C54" s="14" t="n"/>
      <c r="D54" s="25" t="n"/>
      <c r="F54" s="36">
        <f>IF(OR(B54="",C54=""),"",IF(C54&gt;B54,"Overstated","OK"))</f>
        <v/>
      </c>
    </row>
    <row r="55">
      <c r="A55" s="25" t="n"/>
      <c r="B55" s="14" t="n"/>
      <c r="C55" s="14" t="n"/>
      <c r="D55" s="25" t="n"/>
      <c r="F55" s="36">
        <f>IF(OR(B55="",C55=""),"",IF(C55&gt;B55,"Overstated","OK"))</f>
        <v/>
      </c>
    </row>
    <row r="56">
      <c r="A56" s="32" t="inlineStr">
        <is>
          <t>Sign only targets the business plan supports: incentives can be suspended for non-compliance.</t>
        </is>
      </c>
    </row>
    <row r="57"/>
    <row r="58">
      <c r="A58" s="10" t="inlineStr">
        <is>
          <t>Legal tax minimization only. Figures marked 'confirm' must be checked with the Ministry of Revenues or a tax adviser before use.</t>
        </is>
      </c>
      <c r="B58" s="11" t="n"/>
      <c r="C58" s="11" t="n"/>
      <c r="D58" s="11" t="n"/>
      <c r="E58" s="11" t="n"/>
      <c r="F58" s="11" t="n"/>
      <c r="G58" s="11" t="n"/>
      <c r="H58" s="11" t="n"/>
      <c r="I58" s="11" t="n"/>
    </row>
  </sheetData>
  <mergeCells count="36">
    <mergeCell ref="C36:I36"/>
    <mergeCell ref="C48:I48"/>
    <mergeCell ref="C17:I17"/>
    <mergeCell ref="C39:I39"/>
    <mergeCell ref="C8:I8"/>
    <mergeCell ref="A56:I56"/>
    <mergeCell ref="C7:I7"/>
    <mergeCell ref="C38:I38"/>
    <mergeCell ref="C19:I19"/>
    <mergeCell ref="C37:I37"/>
    <mergeCell ref="A2:I2"/>
    <mergeCell ref="C18:I18"/>
    <mergeCell ref="A33:I33"/>
    <mergeCell ref="D52:E52"/>
    <mergeCell ref="C6:I6"/>
    <mergeCell ref="C42:I42"/>
    <mergeCell ref="C15:I15"/>
    <mergeCell ref="C5:I5"/>
    <mergeCell ref="D53:E53"/>
    <mergeCell ref="C45:I45"/>
    <mergeCell ref="C4:I4"/>
    <mergeCell ref="C10:I10"/>
    <mergeCell ref="C16:I16"/>
    <mergeCell ref="C47:I47"/>
    <mergeCell ref="A58:I58"/>
    <mergeCell ref="C41:I41"/>
    <mergeCell ref="B49:I49"/>
    <mergeCell ref="C44:I44"/>
    <mergeCell ref="C40:I40"/>
    <mergeCell ref="C9:I9"/>
    <mergeCell ref="D55:E55"/>
    <mergeCell ref="C43:I43"/>
    <mergeCell ref="C12:I12"/>
    <mergeCell ref="C46:I46"/>
    <mergeCell ref="D54:E54"/>
    <mergeCell ref="C11:I11"/>
  </mergeCells>
  <conditionalFormatting sqref="B15:B17">
    <cfRule type="cellIs" priority="1" operator="notEqual" dxfId="3">
      <formula>"OK"</formula>
    </cfRule>
  </conditionalFormatting>
  <conditionalFormatting sqref="I22:I31">
    <cfRule type="expression" priority="2" dxfId="3">
      <formula>AND($A22&lt;=$B$9,$I22&lt;=0)</formula>
    </cfRule>
  </conditionalFormatting>
  <conditionalFormatting sqref="F53:F55">
    <cfRule type="cellIs" priority="3" operator="equal" dxfId="3">
      <formula>"Overstated"</formula>
    </cfRule>
  </conditionalFormatting>
  <dataValidations count="4">
    <dataValidation sqref="B7" showDropDown="0" showInputMessage="0" showErrorMessage="0" allowBlank="1" errorTitle="Invalid entry" error="Choose a value from the list." type="list">
      <formula1>=RouteNames</formula1>
    </dataValidation>
    <dataValidation sqref="B12" showDropDown="0" showInputMessage="0" showErrorMessage="0" allowBlank="1" errorTitle="Invalid entry" error="Choose a value from the list." type="list">
      <formula1>"Yes,No"</formula1>
    </dataValidation>
    <dataValidation sqref="B39" showDropDown="0" showInputMessage="0" showErrorMessage="0" allowBlank="1" errorTitle="Invalid entry" error="Choose a value from the list." type="list">
      <formula1>"Yes,No"</formula1>
    </dataValidation>
    <dataValidation sqref="B40" showDropDown="0" showInputMessage="0" showErrorMessage="0" allowBlank="1" errorTitle="Invalid entry" error="Choose a value from the list." type="list">
      <formula1>=RouteNames</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7.xml><?xml version="1.0" encoding="utf-8"?>
<worksheet xmlns="http://schemas.openxmlformats.org/spreadsheetml/2006/main">
  <sheetPr>
    <tabColor rgb="000F4C3A"/>
    <outlinePr summaryBelow="1" summaryRight="1"/>
    <pageSetUpPr fitToPage="1"/>
  </sheetPr>
  <dimension ref="A1:M32"/>
  <sheetViews>
    <sheetView showGridLines="0" workbookViewId="0">
      <pane ySplit="5" topLeftCell="A6" activePane="bottomLeft" state="frozen"/>
      <selection pane="bottomLeft" activeCell="A1" sqref="A1"/>
    </sheetView>
  </sheetViews>
  <sheetFormatPr baseColWidth="8" defaultRowHeight="15"/>
  <cols>
    <col width="26" customWidth="1" min="1" max="1"/>
    <col width="16" customWidth="1" min="2" max="2"/>
    <col width="13" customWidth="1" min="3" max="3"/>
    <col width="15" customWidth="1" min="4" max="4"/>
    <col width="15" customWidth="1" min="5" max="5"/>
    <col width="22" customWidth="1" min="6" max="6"/>
    <col width="15" customWidth="1" min="7" max="7"/>
    <col width="15" customWidth="1" min="8" max="8"/>
    <col width="15" customWidth="1" min="9" max="9"/>
    <col width="14" customWidth="1" min="10" max="10"/>
    <col width="10" customWidth="1" min="11" max="11"/>
    <col width="14" customWidth="1" min="12" max="12"/>
    <col width="40" customWidth="1" min="13" max="13"/>
  </cols>
  <sheetData>
    <row r="1" ht="26" customHeight="1">
      <c r="A1" s="1" t="inlineStr">
        <is>
          <t>Transfer pricing checklist: Tekeze group (2025/26)</t>
        </is>
      </c>
      <c r="B1" s="2" t="n"/>
      <c r="C1" s="2" t="n"/>
      <c r="D1" s="2" t="n"/>
      <c r="E1" s="2" t="n"/>
      <c r="F1" s="2" t="n"/>
      <c r="G1" s="2" t="n"/>
      <c r="H1" s="2" t="n"/>
      <c r="I1" s="2" t="n"/>
      <c r="J1" s="2" t="n"/>
      <c r="K1" s="2" t="n"/>
      <c r="L1" s="2" t="n"/>
      <c r="M1" s="2" t="n"/>
    </row>
    <row r="2">
      <c r="A2" s="13" t="inlineStr">
        <is>
          <t>List each related-party transaction with its arm's length amount; the adjustment, tax and withholding calculate. Then complete the documentation checklist.</t>
        </is>
      </c>
    </row>
    <row r="3"/>
    <row r="4">
      <c r="A4" s="8" t="inlineStr">
        <is>
          <t>Annual turnover of related persons (Birr)</t>
        </is>
      </c>
      <c r="B4" s="23" t="n"/>
      <c r="C4" s="22" t="n"/>
      <c r="D4" s="18" t="n">
        <v>1200000000</v>
      </c>
      <c r="E4" s="8">
        <f>IF(D4&gt;TP_Scope,"Directive No. 981/2024 applies","Below the scope threshold: confirm")</f>
        <v/>
      </c>
    </row>
    <row r="5" ht="48" customHeight="1">
      <c r="A5" s="6" t="inlineStr">
        <is>
          <t>Transaction</t>
        </is>
      </c>
      <c r="B5" s="6" t="inlineStr">
        <is>
          <t>Parties</t>
        </is>
      </c>
      <c r="C5" s="6" t="inlineStr">
        <is>
          <t>Domestic or cross-border</t>
        </is>
      </c>
      <c r="D5" s="6" t="inlineStr">
        <is>
          <t>Annual amount (Birr)</t>
        </is>
      </c>
      <c r="E5" s="6" t="inlineStr">
        <is>
          <t>Method</t>
        </is>
      </c>
      <c r="F5" s="6" t="inlineStr">
        <is>
          <t>Benchmark result</t>
        </is>
      </c>
      <c r="G5" s="6" t="inlineStr">
        <is>
          <t>Charged (Birr)</t>
        </is>
      </c>
      <c r="H5" s="6" t="inlineStr">
        <is>
          <t>Arm's length amount (Birr)</t>
        </is>
      </c>
      <c r="I5" s="6" t="inlineStr">
        <is>
          <t>Adjustment (Birr)</t>
        </is>
      </c>
      <c r="J5" s="6" t="inlineStr">
        <is>
          <t>Tax at 30% on adjustment (Birr)</t>
        </is>
      </c>
      <c r="K5" s="6" t="inlineStr">
        <is>
          <t>Withholding rate</t>
        </is>
      </c>
      <c r="L5" s="6" t="inlineStr">
        <is>
          <t>Withholding (Birr)</t>
        </is>
      </c>
      <c r="M5" s="6" t="inlineStr">
        <is>
          <t>Note</t>
        </is>
      </c>
    </row>
    <row r="6" ht="33" customHeight="1">
      <c r="A6" s="25" t="inlineStr">
        <is>
          <t>Management fee</t>
        </is>
      </c>
      <c r="B6" s="25" t="inlineStr">
        <is>
          <t>FZE to Foods</t>
        </is>
      </c>
      <c r="C6" s="25" t="inlineStr">
        <is>
          <t>Cross-border</t>
        </is>
      </c>
      <c r="D6" s="18" t="n">
        <v>48000000</v>
      </c>
      <c r="E6" s="25" t="inlineStr">
        <is>
          <t>Cost plus</t>
        </is>
      </c>
      <c r="F6" s="25" t="inlineStr">
        <is>
          <t>10% markup on documented cost of 18,000,000</t>
        </is>
      </c>
      <c r="G6" s="18" t="n">
        <v>48000000</v>
      </c>
      <c r="H6" s="18">
        <f>ROUND(18000000*(1+10%),0)</f>
        <v/>
      </c>
      <c r="I6" s="33">
        <f>IF(OR(G6="",H6=""),"",ABS(G6-H6))</f>
        <v/>
      </c>
      <c r="J6" s="33">
        <f>IF(I6="","",ROUND(I6*CIT_Rate,0))</f>
        <v/>
      </c>
      <c r="K6" s="14">
        <f>Fee_WHT_NR</f>
        <v/>
      </c>
      <c r="L6" s="33">
        <f>IF(OR(G6="",K6=""),"",ROUND(G6*K6,0))</f>
        <v/>
      </c>
      <c r="M6" s="25" t="inlineStr">
        <is>
          <t>Adjustment at Foods; reprice on a cost-plus basis from next year.</t>
        </is>
      </c>
    </row>
    <row r="7" ht="33" customHeight="1">
      <c r="A7" s="25" t="inlineStr">
        <is>
          <t>Shareholder loan interest</t>
        </is>
      </c>
      <c r="B7" s="25" t="inlineStr">
        <is>
          <t>FZE to Foods</t>
        </is>
      </c>
      <c r="C7" s="25" t="inlineStr">
        <is>
          <t>Cross-border</t>
        </is>
      </c>
      <c r="D7" s="18" t="n">
        <v>40000000</v>
      </c>
      <c r="E7" s="25" t="inlineStr">
        <is>
          <t>CUP</t>
        </is>
      </c>
      <c r="F7" s="25" t="inlineStr">
        <is>
          <t>Bank rates 15% to 17%</t>
        </is>
      </c>
      <c r="G7" s="18" t="n">
        <v>40000000</v>
      </c>
      <c r="H7" s="18">
        <f>ROUND(200000000*(RefRate+RateCapMargin),0)</f>
        <v/>
      </c>
      <c r="I7" s="33">
        <f>IF(OR(G7="",H7=""),"",ABS(G7-H7))</f>
        <v/>
      </c>
      <c r="J7" s="33">
        <f>IF(I7="","",ROUND(I7*CIT_Rate,0))</f>
        <v/>
      </c>
      <c r="K7" s="14">
        <f>Int_WHT</f>
        <v/>
      </c>
      <c r="L7" s="33">
        <f>IF(OR(G7="",K7=""),"",ROUND(G7*K7,0))</f>
        <v/>
      </c>
      <c r="M7" s="25" t="inlineStr">
        <is>
          <t>Charged at 20% on Birr 200,000,000; deductible only at the capped rate.</t>
        </is>
      </c>
    </row>
    <row r="8" ht="78" customHeight="1">
      <c r="A8" s="25" t="inlineStr">
        <is>
          <t>Freight</t>
        </is>
      </c>
      <c r="B8" s="25" t="inlineStr">
        <is>
          <t>Logistics to Foods</t>
        </is>
      </c>
      <c r="C8" s="25" t="inlineStr">
        <is>
          <t>Domestic</t>
        </is>
      </c>
      <c r="D8" s="18" t="n">
        <v>102000000</v>
      </c>
      <c r="E8" s="25" t="inlineStr">
        <is>
          <t>CUP</t>
        </is>
      </c>
      <c r="F8" s="25" t="inlineStr">
        <is>
          <t>External rate list 120,000,000</t>
        </is>
      </c>
      <c r="G8" s="18" t="n">
        <v>102000000</v>
      </c>
      <c r="H8" s="18" t="n">
        <v>120000000</v>
      </c>
      <c r="I8" s="33">
        <f>IF(OR(G8="",H8=""),"",ABS(G8-H8))</f>
        <v/>
      </c>
      <c r="J8" s="33">
        <f>IF(I8="","",ROUND(I8*CIT_Rate,0))</f>
        <v/>
      </c>
      <c r="K8" s="14" t="n">
        <v>0</v>
      </c>
      <c r="L8" s="33">
        <f>IF(OR(G8="",K8=""),"",ROUND(G8*K8,0))</f>
        <v/>
      </c>
      <c r="M8" s="25" t="inlineStr">
        <is>
          <t>Under-charged at Logistics: adjustments only increase taxable income, so no matching reduction at Foods. Logistics pays MAT: check the cash effect. Domestic 3% withholding is handled in the payment register.</t>
        </is>
      </c>
    </row>
    <row r="9">
      <c r="A9" s="25" t="n"/>
      <c r="B9" s="25" t="n"/>
      <c r="C9" s="25" t="n"/>
      <c r="D9" s="18" t="n"/>
      <c r="E9" s="25" t="n"/>
      <c r="F9" s="25" t="n"/>
      <c r="G9" s="18" t="n"/>
      <c r="H9" s="18" t="n"/>
      <c r="I9" s="33">
        <f>IF(OR(G9="",H9=""),"",ABS(G9-H9))</f>
        <v/>
      </c>
      <c r="J9" s="33">
        <f>IF(I9="","",ROUND(I9*CIT_Rate,0))</f>
        <v/>
      </c>
      <c r="K9" s="14" t="n"/>
      <c r="L9" s="33">
        <f>IF(OR(G9="",K9=""),"",ROUND(G9*K9,0))</f>
        <v/>
      </c>
      <c r="M9" s="25" t="n"/>
    </row>
    <row r="10">
      <c r="A10" s="25" t="n"/>
      <c r="B10" s="25" t="n"/>
      <c r="C10" s="25" t="n"/>
      <c r="D10" s="18" t="n"/>
      <c r="E10" s="25" t="n"/>
      <c r="F10" s="25" t="n"/>
      <c r="G10" s="18" t="n"/>
      <c r="H10" s="18" t="n"/>
      <c r="I10" s="33">
        <f>IF(OR(G10="",H10=""),"",ABS(G10-H10))</f>
        <v/>
      </c>
      <c r="J10" s="33">
        <f>IF(I10="","",ROUND(I10*CIT_Rate,0))</f>
        <v/>
      </c>
      <c r="K10" s="14" t="n"/>
      <c r="L10" s="33">
        <f>IF(OR(G10="",K10=""),"",ROUND(G10*K10,0))</f>
        <v/>
      </c>
      <c r="M10" s="25" t="n"/>
    </row>
    <row r="11">
      <c r="A11" s="25" t="n"/>
      <c r="B11" s="25" t="n"/>
      <c r="C11" s="25" t="n"/>
      <c r="D11" s="18" t="n"/>
      <c r="E11" s="25" t="n"/>
      <c r="F11" s="25" t="n"/>
      <c r="G11" s="18" t="n"/>
      <c r="H11" s="18" t="n"/>
      <c r="I11" s="33">
        <f>IF(OR(G11="",H11=""),"",ABS(G11-H11))</f>
        <v/>
      </c>
      <c r="J11" s="33">
        <f>IF(I11="","",ROUND(I11*CIT_Rate,0))</f>
        <v/>
      </c>
      <c r="K11" s="14" t="n"/>
      <c r="L11" s="33">
        <f>IF(OR(G11="",K11=""),"",ROUND(G11*K11,0))</f>
        <v/>
      </c>
      <c r="M11" s="25" t="n"/>
    </row>
    <row r="12">
      <c r="A12" s="26" t="inlineStr">
        <is>
          <t>Total</t>
        </is>
      </c>
      <c r="B12" s="27" t="n"/>
      <c r="C12" s="27" t="n"/>
      <c r="D12" s="27" t="n"/>
      <c r="E12" s="27" t="n"/>
      <c r="F12" s="27" t="n"/>
      <c r="G12" s="27" t="n"/>
      <c r="H12" s="27" t="n"/>
      <c r="I12" s="34">
        <f>SUM(I6:I11)</f>
        <v/>
      </c>
      <c r="J12" s="34">
        <f>SUM(J6:J11)</f>
        <v/>
      </c>
      <c r="K12" s="27" t="n"/>
      <c r="L12" s="34">
        <f>SUM(L6:L11)</f>
        <v/>
      </c>
      <c r="M12" s="27" t="n"/>
    </row>
    <row r="13"/>
    <row r="14">
      <c r="A14" s="5" t="inlineStr">
        <is>
          <t>Block B: documentation checklist (Directive No. 981/2024)</t>
        </is>
      </c>
    </row>
    <row r="15" ht="20" customHeight="1">
      <c r="A15" s="6" t="inlineStr">
        <is>
          <t>Item</t>
        </is>
      </c>
      <c r="B15" s="23" t="n"/>
      <c r="C15" s="23" t="n"/>
      <c r="D15" s="22" t="n"/>
      <c r="E15" s="6" t="inlineStr">
        <is>
          <t>Status</t>
        </is>
      </c>
      <c r="F15" s="6" t="inlineStr">
        <is>
          <t>Evidence or next step</t>
        </is>
      </c>
      <c r="G15" s="23" t="n"/>
      <c r="H15" s="23" t="n"/>
      <c r="I15" s="23" t="n"/>
      <c r="J15" s="23" t="n"/>
      <c r="K15" s="23" t="n"/>
      <c r="L15" s="23" t="n"/>
      <c r="M15" s="22" t="n"/>
    </row>
    <row r="16">
      <c r="A16" s="9" t="inlineStr">
        <is>
          <t>Group structure chart</t>
        </is>
      </c>
      <c r="B16" s="7" t="n"/>
      <c r="C16" s="7" t="n"/>
      <c r="D16" s="7" t="n"/>
      <c r="E16" s="15" t="inlineStr">
        <is>
          <t>Yes</t>
        </is>
      </c>
      <c r="F16" s="25" t="inlineStr">
        <is>
          <t>Board pack</t>
        </is>
      </c>
    </row>
    <row r="17">
      <c r="A17" s="9" t="inlineStr">
        <is>
          <t>List of related persons</t>
        </is>
      </c>
      <c r="B17" s="7" t="n"/>
      <c r="C17" s="7" t="n"/>
      <c r="D17" s="7" t="n"/>
      <c r="E17" s="15" t="inlineStr">
        <is>
          <t>Yes</t>
        </is>
      </c>
      <c r="F17" s="25" t="inlineStr">
        <is>
          <t>Includes Tekeze Trading FZE (owned by the founder's brother)</t>
        </is>
      </c>
    </row>
    <row r="18">
      <c r="A18" s="9" t="inlineStr">
        <is>
          <t>Each related-party transaction with its contract</t>
        </is>
      </c>
      <c r="B18" s="7" t="n"/>
      <c r="C18" s="7" t="n"/>
      <c r="D18" s="7" t="n"/>
      <c r="E18" s="15" t="inlineStr">
        <is>
          <t>Partly</t>
        </is>
      </c>
      <c r="F18" s="25" t="inlineStr">
        <is>
          <t>No written contract for freight</t>
        </is>
      </c>
    </row>
    <row r="19">
      <c r="A19" s="9" t="inlineStr">
        <is>
          <t>Functional analysis (functions, assets, risks)</t>
        </is>
      </c>
      <c r="B19" s="7" t="n"/>
      <c r="C19" s="7" t="n"/>
      <c r="D19" s="7" t="n"/>
      <c r="E19" s="15" t="inlineStr">
        <is>
          <t>No</t>
        </is>
      </c>
      <c r="F19" s="25" t="inlineStr">
        <is>
          <t>Prepare before the next return</t>
        </is>
      </c>
    </row>
    <row r="20">
      <c r="A20" s="9" t="inlineStr">
        <is>
          <t>Method selection and rejected methods</t>
        </is>
      </c>
      <c r="B20" s="7" t="n"/>
      <c r="C20" s="7" t="n"/>
      <c r="D20" s="7" t="n"/>
      <c r="E20" s="15" t="inlineStr">
        <is>
          <t>No</t>
        </is>
      </c>
      <c r="F20" s="25" t="n"/>
    </row>
    <row r="21">
      <c r="A21" s="9" t="inlineStr">
        <is>
          <t>Benchmark study with comparables</t>
        </is>
      </c>
      <c r="B21" s="7" t="n"/>
      <c r="C21" s="7" t="n"/>
      <c r="D21" s="7" t="n"/>
      <c r="E21" s="15" t="inlineStr">
        <is>
          <t>No</t>
        </is>
      </c>
      <c r="F21" s="25" t="inlineStr">
        <is>
          <t>Independent service firms for the fee markup</t>
        </is>
      </c>
    </row>
    <row r="22">
      <c r="A22" s="9" t="inlineStr">
        <is>
          <t>Evidence of benefit for services (reports, emails, visit logs)</t>
        </is>
      </c>
      <c r="B22" s="7" t="n"/>
      <c r="C22" s="7" t="n"/>
      <c r="D22" s="7" t="n"/>
      <c r="E22" s="15" t="inlineStr">
        <is>
          <t>Partly</t>
        </is>
      </c>
      <c r="F22" s="25" t="inlineStr">
        <is>
          <t>Collect for each service</t>
        </is>
      </c>
    </row>
    <row r="23">
      <c r="A23" s="9" t="inlineStr">
        <is>
          <t>Provider cost data for cost-plus charges</t>
        </is>
      </c>
      <c r="B23" s="7" t="n"/>
      <c r="C23" s="7" t="n"/>
      <c r="D23" s="7" t="n"/>
      <c r="E23" s="15" t="inlineStr">
        <is>
          <t>Yes</t>
        </is>
      </c>
      <c r="F23" s="25" t="inlineStr">
        <is>
          <t>FZE documented cost Birr 18,000,000</t>
        </is>
      </c>
    </row>
    <row r="24">
      <c r="A24" s="9" t="inlineStr">
        <is>
          <t>Intangibles and royalties analysis</t>
        </is>
      </c>
      <c r="B24" s="7" t="n"/>
      <c r="C24" s="7" t="n"/>
      <c r="D24" s="7" t="n"/>
      <c r="E24" s="15" t="inlineStr">
        <is>
          <t>No</t>
        </is>
      </c>
      <c r="F24" s="25" t="n"/>
    </row>
    <row r="25">
      <c r="A25" s="9" t="inlineStr">
        <is>
          <t>Year-end true-up</t>
        </is>
      </c>
      <c r="B25" s="7" t="n"/>
      <c r="C25" s="7" t="n"/>
      <c r="D25" s="7" t="n"/>
      <c r="E25" s="15" t="inlineStr">
        <is>
          <t>No</t>
        </is>
      </c>
      <c r="F25" s="25" t="n"/>
    </row>
    <row r="26">
      <c r="A26" s="9" t="inlineStr">
        <is>
          <t>File ready by the return filing date</t>
        </is>
      </c>
      <c r="B26" s="7" t="n"/>
      <c r="C26" s="7" t="n"/>
      <c r="D26" s="7" t="n"/>
      <c r="E26" s="15" t="inlineStr">
        <is>
          <t>No</t>
        </is>
      </c>
      <c r="F26" s="25" t="inlineStr">
        <is>
          <t>Target: before the next return</t>
        </is>
      </c>
    </row>
    <row r="27">
      <c r="A27" s="9" t="inlineStr">
        <is>
          <t>45-day response plan with a named owner</t>
        </is>
      </c>
      <c r="B27" s="7" t="n"/>
      <c r="C27" s="7" t="n"/>
      <c r="D27" s="7" t="n"/>
      <c r="E27" s="15" t="inlineStr">
        <is>
          <t>Yes</t>
        </is>
      </c>
      <c r="F27" s="25" t="inlineStr">
        <is>
          <t>Ato Yonas Tadesse</t>
        </is>
      </c>
    </row>
    <row r="28">
      <c r="A28" s="9" t="inlineStr">
        <is>
          <t>Consider an advance pricing arrangement (up to 5 tax periods)</t>
        </is>
      </c>
      <c r="B28" s="7" t="n"/>
      <c r="C28" s="7" t="n"/>
      <c r="D28" s="7" t="n"/>
      <c r="E28" s="15" t="inlineStr">
        <is>
          <t>No</t>
        </is>
      </c>
      <c r="F28" s="25" t="n"/>
    </row>
    <row r="29">
      <c r="A29" s="26" t="inlineStr">
        <is>
          <t>Completion % = items marked Yes / total items</t>
        </is>
      </c>
      <c r="B29" s="27" t="n"/>
      <c r="C29" s="27" t="n"/>
      <c r="D29" s="27" t="n"/>
      <c r="E29" s="40">
        <f>COUNTIF(E16:E28,"Yes")/COUNTA(A16:A28)</f>
        <v/>
      </c>
    </row>
    <row r="30">
      <c r="A30" s="32" t="inlineStr">
        <is>
          <t>Documentation must be ready by the return filing date and provided within 45 days of a request.</t>
        </is>
      </c>
    </row>
    <row r="31"/>
    <row r="32">
      <c r="A32" s="10" t="inlineStr">
        <is>
          <t>Legal tax minimization only. Figures marked 'confirm' must be checked with the Ministry of Revenues or a tax adviser before use.</t>
        </is>
      </c>
      <c r="B32" s="11" t="n"/>
      <c r="C32" s="11" t="n"/>
      <c r="D32" s="11" t="n"/>
      <c r="E32" s="11" t="n"/>
      <c r="F32" s="11" t="n"/>
      <c r="G32" s="11" t="n"/>
      <c r="H32" s="11" t="n"/>
      <c r="I32" s="11" t="n"/>
      <c r="J32" s="11" t="n"/>
      <c r="K32" s="11" t="n"/>
      <c r="L32" s="11" t="n"/>
      <c r="M32" s="11" t="n"/>
    </row>
  </sheetData>
  <mergeCells count="34">
    <mergeCell ref="A17:D17"/>
    <mergeCell ref="A23:D23"/>
    <mergeCell ref="A22:D22"/>
    <mergeCell ref="A32:M32"/>
    <mergeCell ref="A20:D20"/>
    <mergeCell ref="F19:M19"/>
    <mergeCell ref="F25:M25"/>
    <mergeCell ref="F16:M16"/>
    <mergeCell ref="A29:D29"/>
    <mergeCell ref="A19:D19"/>
    <mergeCell ref="A28:D28"/>
    <mergeCell ref="F15:M15"/>
    <mergeCell ref="F21:M21"/>
    <mergeCell ref="F24:M24"/>
    <mergeCell ref="F20:M20"/>
    <mergeCell ref="A15:D15"/>
    <mergeCell ref="A30:M30"/>
    <mergeCell ref="A24:D24"/>
    <mergeCell ref="F18:M18"/>
    <mergeCell ref="A4:C4"/>
    <mergeCell ref="F26:M26"/>
    <mergeCell ref="F17:M17"/>
    <mergeCell ref="E4:H4"/>
    <mergeCell ref="F23:M23"/>
    <mergeCell ref="A25:D25"/>
    <mergeCell ref="F22:M22"/>
    <mergeCell ref="A16:D16"/>
    <mergeCell ref="F28:M28"/>
    <mergeCell ref="F27:M27"/>
    <mergeCell ref="A18:D18"/>
    <mergeCell ref="A27:D27"/>
    <mergeCell ref="A26:D26"/>
    <mergeCell ref="A21:D21"/>
    <mergeCell ref="A2:M2"/>
  </mergeCells>
  <conditionalFormatting sqref="E16:E28">
    <cfRule type="cellIs" priority="1" operator="equal" dxfId="1">
      <formula>"No"</formula>
    </cfRule>
    <cfRule type="cellIs" priority="2" operator="equal" dxfId="0">
      <formula>"Partly"</formula>
    </cfRule>
    <cfRule type="cellIs" priority="3" operator="equal" dxfId="2">
      <formula>"Yes"</formula>
    </cfRule>
  </conditionalFormatting>
  <dataValidations count="3">
    <dataValidation sqref="E6:E11" showDropDown="0" showInputMessage="0" showErrorMessage="0" allowBlank="1" errorTitle="Invalid entry" error="Choose a value from the list." type="list">
      <formula1>"CUP,Resale price,Cost plus,TNMM,Profit split"</formula1>
    </dataValidation>
    <dataValidation sqref="C6:C11" showDropDown="0" showInputMessage="0" showErrorMessage="0" allowBlank="1" errorTitle="Invalid entry" error="Choose a value from the list." type="list">
      <formula1>"Domestic,Cross-border"</formula1>
    </dataValidation>
    <dataValidation sqref="E16:E28" showDropDown="0" showInputMessage="0" showErrorMessage="0" allowBlank="1" errorTitle="Invalid entry" error="Choose a value from the list." type="list">
      <formula1>"Yes,No,Partly"</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8.xml><?xml version="1.0" encoding="utf-8"?>
<worksheet xmlns="http://schemas.openxmlformats.org/spreadsheetml/2006/main">
  <sheetPr>
    <tabColor rgb="000F4C3A"/>
    <outlinePr summaryBelow="1" summaryRight="1"/>
    <pageSetUpPr fitToPage="1"/>
  </sheetPr>
  <dimension ref="A1:F52"/>
  <sheetViews>
    <sheetView showGridLines="0" workbookViewId="0">
      <pane ySplit="3" topLeftCell="A4" activePane="bottomLeft" state="frozen"/>
      <selection pane="bottomLeft" activeCell="A1" sqref="A1"/>
    </sheetView>
  </sheetViews>
  <sheetFormatPr baseColWidth="8" defaultRowHeight="15"/>
  <cols>
    <col width="58" customWidth="1" min="1" max="1"/>
    <col width="20" customWidth="1" min="2" max="2"/>
    <col width="22" customWidth="1" min="3" max="3"/>
    <col width="18" customWidth="1" min="4" max="4"/>
    <col width="14" customWidth="1" min="5" max="5"/>
    <col width="40" customWidth="1" min="6" max="6"/>
  </cols>
  <sheetData>
    <row r="1" ht="26" customHeight="1">
      <c r="A1" s="1" t="inlineStr">
        <is>
          <t>Acquisition due diligence: Ziway Edible Oil PLC</t>
        </is>
      </c>
      <c r="B1" s="2" t="n"/>
      <c r="C1" s="2" t="n"/>
      <c r="D1" s="2" t="n"/>
      <c r="E1" s="2" t="n"/>
      <c r="F1" s="2" t="n"/>
    </row>
    <row r="2">
      <c r="A2" s="13" t="inlineStr">
        <is>
          <t>Work through the checklist, compare a share deal with an asset deal after tax and set a protection for each exposure.</t>
        </is>
      </c>
    </row>
    <row r="3"/>
    <row r="4">
      <c r="A4" s="5" t="inlineStr">
        <is>
          <t>Block A: checklist by tax</t>
        </is>
      </c>
    </row>
    <row r="5" ht="20" customHeight="1">
      <c r="A5" s="6" t="inlineStr">
        <is>
          <t>Item</t>
        </is>
      </c>
      <c r="B5" s="6" t="inlineStr">
        <is>
          <t>Status</t>
        </is>
      </c>
      <c r="C5" s="6" t="inlineStr">
        <is>
          <t>Notes</t>
        </is>
      </c>
      <c r="D5" s="23" t="n"/>
      <c r="E5" s="23" t="n"/>
      <c r="F5" s="22" t="n"/>
    </row>
    <row r="6" ht="33" customHeight="1">
      <c r="A6" s="9" t="inlineStr">
        <is>
          <t>Income tax returns and assessments for 5 years (10 if fraud indicators)</t>
        </is>
      </c>
      <c r="B6" s="15" t="inlineStr">
        <is>
          <t>Done</t>
        </is>
      </c>
      <c r="C6" s="25" t="inlineStr">
        <is>
          <t>One assessment under objection</t>
        </is>
      </c>
    </row>
    <row r="7">
      <c r="A7" s="9" t="inlineStr">
        <is>
          <t>MAT computations</t>
        </is>
      </c>
      <c r="B7" s="15" t="inlineStr">
        <is>
          <t>Done</t>
        </is>
      </c>
      <c r="C7" s="25" t="n"/>
    </row>
    <row r="8">
      <c r="A8" s="9" t="inlineStr">
        <is>
          <t>Advance tax</t>
        </is>
      </c>
      <c r="B8" s="15" t="inlineStr">
        <is>
          <t>Done</t>
        </is>
      </c>
      <c r="C8" s="25" t="n"/>
    </row>
    <row r="9" ht="33" customHeight="1">
      <c r="A9" s="9" t="inlineStr">
        <is>
          <t>Withholding (3% and thresholds from 7 August 2025, 30% without TIN)</t>
        </is>
      </c>
      <c r="B9" s="15" t="inlineStr">
        <is>
          <t>Issue found</t>
        </is>
      </c>
      <c r="C9" s="25" t="inlineStr">
        <is>
          <t>Not deducted on supplier payments: Birr 4,500,000</t>
        </is>
      </c>
    </row>
    <row r="10">
      <c r="A10" s="9" t="inlineStr">
        <is>
          <t>Cash payments above Birr 50,000</t>
        </is>
      </c>
      <c r="B10" s="15" t="inlineStr">
        <is>
          <t>Issue found</t>
        </is>
      </c>
      <c r="C10" s="25" t="inlineStr">
        <is>
          <t>Birr 38,000,000 in 2025/26, not deductible</t>
        </is>
      </c>
    </row>
    <row r="11">
      <c r="A11" s="9" t="inlineStr">
        <is>
          <t>PAYE and pension</t>
        </is>
      </c>
      <c r="B11" s="15" t="inlineStr">
        <is>
          <t>Done</t>
        </is>
      </c>
      <c r="C11" s="25" t="n"/>
    </row>
    <row r="12">
      <c r="A12" s="9" t="inlineStr">
        <is>
          <t>VAT returns, input invoices, non-creditable inputs, reverse charge</t>
        </is>
      </c>
      <c r="B12" s="15" t="inlineStr">
        <is>
          <t>Issue found</t>
        </is>
      </c>
      <c r="C12" s="25" t="inlineStr">
        <is>
          <t>Input VAT on passenger vehicles and hotel stays: Birr 2,400,000</t>
        </is>
      </c>
    </row>
    <row r="13">
      <c r="A13" s="9" t="inlineStr">
        <is>
          <t>Excise and stamp duty</t>
        </is>
      </c>
      <c r="B13" s="15" t="inlineStr">
        <is>
          <t>Done</t>
        </is>
      </c>
      <c r="C13" s="25" t="n"/>
    </row>
    <row r="14">
      <c r="A14" s="9" t="inlineStr">
        <is>
          <t>Transfer pricing with sellers' related businesses</t>
        </is>
      </c>
      <c r="B14" s="15" t="inlineStr">
        <is>
          <t>Issue found</t>
        </is>
      </c>
      <c r="C14" s="25" t="inlineStr">
        <is>
          <t>Oil seed from the owner's farm above market</t>
        </is>
      </c>
    </row>
    <row r="15">
      <c r="A15" s="9" t="inlineStr">
        <is>
          <t>Incentives and performance agreements</t>
        </is>
      </c>
      <c r="B15" s="15" t="inlineStr">
        <is>
          <t>N/A</t>
        </is>
      </c>
      <c r="C15" s="25" t="n"/>
    </row>
    <row r="16">
      <c r="A16" s="9" t="inlineStr">
        <is>
          <t>Losses carried forward and ownership history</t>
        </is>
      </c>
      <c r="B16" s="15" t="inlineStr">
        <is>
          <t>Done</t>
        </is>
      </c>
      <c r="C16" s="25" t="inlineStr">
        <is>
          <t>Birr 70,000,000 of losses</t>
        </is>
      </c>
    </row>
    <row r="17">
      <c r="A17" s="9" t="inlineStr">
        <is>
          <t>Open objections and appeals</t>
        </is>
      </c>
      <c r="B17" s="15" t="inlineStr">
        <is>
          <t>Issue found</t>
        </is>
      </c>
      <c r="C17" s="25" t="inlineStr">
        <is>
          <t>Assessment of Birr 9,000,000 under objection</t>
        </is>
      </c>
    </row>
    <row r="18">
      <c r="A18" s="9" t="inlineStr">
        <is>
          <t>Clearance certificates</t>
        </is>
      </c>
      <c r="B18" s="15" t="inlineStr">
        <is>
          <t>Done</t>
        </is>
      </c>
      <c r="C18" s="25" t="n"/>
    </row>
    <row r="19">
      <c r="A19" s="9" t="inlineStr">
        <is>
          <t>Records retention</t>
        </is>
      </c>
      <c r="B19" s="15" t="inlineStr">
        <is>
          <t>Done</t>
        </is>
      </c>
      <c r="C19" s="25" t="n"/>
    </row>
    <row r="20">
      <c r="A20" s="26" t="inlineStr">
        <is>
          <t>Issues found</t>
        </is>
      </c>
      <c r="B20" s="28">
        <f>COUNTIF(B6:B19,"Issue found")</f>
        <v/>
      </c>
    </row>
    <row r="21"/>
    <row r="22">
      <c r="A22" s="5" t="inlineStr">
        <is>
          <t>Block B: share deal vs asset deal</t>
        </is>
      </c>
    </row>
    <row r="23" ht="20" customHeight="1">
      <c r="A23" s="6" t="inlineStr">
        <is>
          <t>Share deal (price for 100% of the shares)</t>
        </is>
      </c>
      <c r="B23" s="6" t="inlineStr">
        <is>
          <t>Birr</t>
        </is>
      </c>
      <c r="C23" s="6" t="inlineStr">
        <is>
          <t>Note</t>
        </is>
      </c>
      <c r="D23" s="23" t="n"/>
      <c r="E23" s="23" t="n"/>
      <c r="F23" s="22" t="n"/>
    </row>
    <row r="24">
      <c r="A24" s="8" t="inlineStr">
        <is>
          <t>Price</t>
        </is>
      </c>
      <c r="B24" s="18" t="n">
        <v>420000000</v>
      </c>
      <c r="C24" s="35" t="inlineStr"/>
    </row>
    <row r="25">
      <c r="A25" s="8" t="inlineStr">
        <is>
          <t>Sellers' original cost of the shares</t>
        </is>
      </c>
      <c r="B25" s="18" t="n">
        <v>60000000</v>
      </c>
      <c r="C25" s="35" t="inlineStr"/>
    </row>
    <row r="26">
      <c r="A26" s="8" t="inlineStr">
        <is>
          <t>Gain before the inflation adjustment</t>
        </is>
      </c>
      <c r="B26" s="33">
        <f>B24-B25</f>
        <v/>
      </c>
      <c r="C26" s="35" t="inlineStr"/>
    </row>
    <row r="27">
      <c r="A27" s="8" t="inlineStr">
        <is>
          <t>Sellers' tax at the lower capital gains rate</t>
        </is>
      </c>
      <c r="B27" s="33">
        <f>ROUND(B26*CGT_Shares_Low,0)</f>
        <v/>
      </c>
      <c r="C27" s="35" t="inlineStr">
        <is>
          <t>Sources differ: confirm</t>
        </is>
      </c>
    </row>
    <row r="28">
      <c r="A28" s="8" t="inlineStr">
        <is>
          <t>Sellers' tax at the higher capital gains rate</t>
        </is>
      </c>
      <c r="B28" s="33">
        <f>ROUND(B26*CGT_Shares_High,0)</f>
        <v/>
      </c>
      <c r="C28" s="35" t="inlineStr">
        <is>
          <t>Sources differ: confirm</t>
        </is>
      </c>
    </row>
    <row r="29">
      <c r="A29" s="8" t="inlineStr">
        <is>
          <t>Tax losses carried forward (input)</t>
        </is>
      </c>
      <c r="B29" s="18" t="n">
        <v>70000000</v>
      </c>
      <c r="C29" s="35" t="inlineStr"/>
    </row>
    <row r="30">
      <c r="A30" s="8" t="inlineStr">
        <is>
          <t>Value of losses to the buyer = losses x CIT rate</t>
        </is>
      </c>
      <c r="B30" s="33">
        <f>ROUND(B29*CIT_Rate,0)</f>
        <v/>
      </c>
      <c r="C30" s="35" t="inlineStr">
        <is>
          <t>Only if the same business continues (Art. 34)</t>
        </is>
      </c>
    </row>
    <row r="31">
      <c r="A31" s="8" t="inlineStr">
        <is>
          <t>Inherited gross exposures (risk register, Ziway total)</t>
        </is>
      </c>
      <c r="B31" s="33">
        <f>'Health Check and Risk Register'!E45</f>
        <v/>
      </c>
      <c r="C31" s="35" t="inlineStr"/>
    </row>
    <row r="32" ht="20" customHeight="1">
      <c r="A32" s="6" t="inlineStr">
        <is>
          <t>Asset deal (buyer's view)</t>
        </is>
      </c>
      <c r="B32" s="6" t="inlineStr">
        <is>
          <t>Birr</t>
        </is>
      </c>
      <c r="C32" s="6" t="inlineStr">
        <is>
          <t>Note</t>
        </is>
      </c>
      <c r="D32" s="23" t="n"/>
      <c r="E32" s="23" t="n"/>
      <c r="F32" s="22" t="n"/>
    </row>
    <row r="33">
      <c r="A33" s="8" t="inlineStr">
        <is>
          <t>Buildings (excluding land lease rights)</t>
        </is>
      </c>
      <c r="B33" s="18" t="n">
        <v>150000000</v>
      </c>
      <c r="C33" s="35" t="inlineStr"/>
    </row>
    <row r="34">
      <c r="A34" s="8" t="inlineStr">
        <is>
          <t>Machinery and equipment</t>
        </is>
      </c>
      <c r="B34" s="18" t="n">
        <v>180000000</v>
      </c>
      <c r="C34" s="35" t="inlineStr"/>
    </row>
    <row r="35">
      <c r="A35" s="8" t="inlineStr">
        <is>
          <t>Inventory</t>
        </is>
      </c>
      <c r="B35" s="18" t="n">
        <v>60000000</v>
      </c>
      <c r="C35" s="35" t="inlineStr"/>
    </row>
    <row r="36">
      <c r="A36" s="8" t="inlineStr">
        <is>
          <t>Total price for assets</t>
        </is>
      </c>
      <c r="B36" s="33">
        <f>SUM(B33:B35)</f>
        <v/>
      </c>
      <c r="C36" s="35" t="inlineStr"/>
    </row>
    <row r="37">
      <c r="A37" s="8" t="inlineStr">
        <is>
          <t>Stamp duty = buildings x stamp duty on title</t>
        </is>
      </c>
      <c r="B37" s="33">
        <f>ROUND(B33*StampDuty_Title,0)</f>
        <v/>
      </c>
      <c r="C37" s="35" t="inlineStr"/>
    </row>
    <row r="38">
      <c r="A38" s="8" t="inlineStr">
        <is>
          <t>Annual depreciation = buildings x 5% + machinery x 15%</t>
        </is>
      </c>
      <c r="B38" s="33">
        <f>ROUND(B33*Dep_Build+B34*Dep_Other_SL,0)</f>
        <v/>
      </c>
      <c r="C38" s="35" t="inlineStr"/>
    </row>
    <row r="39">
      <c r="A39" s="8" t="inlineStr">
        <is>
          <t>Annual tax shield = depreciation x CIT rate</t>
        </is>
      </c>
      <c r="B39" s="33">
        <f>ROUND(B38*CIT_Rate,0)</f>
        <v/>
      </c>
      <c r="C39" s="35" t="inlineStr"/>
    </row>
    <row r="40" ht="33" customHeight="1">
      <c r="A40" s="8" t="inlineStr">
        <is>
          <t>VAT on the transfer</t>
        </is>
      </c>
      <c r="B40" s="25" t="inlineStr">
        <is>
          <t>Confirm with the Ministry of Revenues</t>
        </is>
      </c>
      <c r="C40" s="35" t="inlineStr"/>
    </row>
    <row r="41"/>
    <row r="42">
      <c r="A42" s="5" t="inlineStr">
        <is>
          <t>Block C: protection plan</t>
        </is>
      </c>
    </row>
    <row r="43" ht="32" customHeight="1">
      <c r="A43" s="6" t="inlineStr">
        <is>
          <t>Item</t>
        </is>
      </c>
      <c r="B43" s="6" t="inlineStr">
        <is>
          <t>Gross (Birr)</t>
        </is>
      </c>
      <c r="C43" s="6" t="inlineStr">
        <is>
          <t>Protection</t>
        </is>
      </c>
      <c r="D43" s="6" t="inlineStr">
        <is>
          <t>Amount (Birr)</t>
        </is>
      </c>
      <c r="E43" s="6" t="inlineStr">
        <is>
          <t>Period (years)</t>
        </is>
      </c>
      <c r="F43" s="6" t="inlineStr">
        <is>
          <t>Check</t>
        </is>
      </c>
    </row>
    <row r="44">
      <c r="A44" s="25" t="inlineStr">
        <is>
          <t>Cash payments above Birr 50,000</t>
        </is>
      </c>
      <c r="B44" s="33">
        <f>'Health Check and Risk Register'!E35</f>
        <v/>
      </c>
      <c r="C44" s="15" t="inlineStr">
        <is>
          <t>Price reduction</t>
        </is>
      </c>
      <c r="D44" s="18">
        <f>'Health Check and Risk Register'!E35</f>
        <v/>
      </c>
      <c r="E44" s="17" t="n">
        <v>5</v>
      </c>
      <c r="F44" s="41">
        <f>IF(AND(C44="Escrow",E44&lt;Reassess_Years),"Shorter than the normal reassessment period","")</f>
        <v/>
      </c>
    </row>
    <row r="45">
      <c r="A45" s="25" t="inlineStr">
        <is>
          <t>Withholding not deducted</t>
        </is>
      </c>
      <c r="B45" s="33">
        <f>'Health Check and Risk Register'!E33</f>
        <v/>
      </c>
      <c r="C45" s="15" t="inlineStr">
        <is>
          <t>Specific indemnity</t>
        </is>
      </c>
      <c r="D45" s="18" t="n"/>
      <c r="E45" s="17" t="n">
        <v>5</v>
      </c>
      <c r="F45" s="41">
        <f>IF(AND(C45="Escrow",E45&lt;Reassess_Years),"Shorter than the normal reassessment period","")</f>
        <v/>
      </c>
    </row>
    <row r="46">
      <c r="A46" s="25" t="inlineStr">
        <is>
          <t>Input VAT on passenger vehicles and hotel stays</t>
        </is>
      </c>
      <c r="B46" s="33">
        <f>'Health Check and Risk Register'!E34</f>
        <v/>
      </c>
      <c r="C46" s="15" t="inlineStr">
        <is>
          <t>Specific indemnity</t>
        </is>
      </c>
      <c r="D46" s="18" t="n"/>
      <c r="E46" s="17" t="n">
        <v>5</v>
      </c>
      <c r="F46" s="41">
        <f>IF(AND(C46="Escrow",E46&lt;Reassess_Years),"Shorter than the normal reassessment period","")</f>
        <v/>
      </c>
    </row>
    <row r="47">
      <c r="A47" s="25" t="inlineStr">
        <is>
          <t>Oil seed transfer pricing</t>
        </is>
      </c>
      <c r="B47" s="33">
        <f>'Health Check and Risk Register'!E36</f>
        <v/>
      </c>
      <c r="C47" s="15" t="inlineStr">
        <is>
          <t>Specific indemnity</t>
        </is>
      </c>
      <c r="D47" s="18" t="n"/>
      <c r="E47" s="17" t="n">
        <v>5</v>
      </c>
      <c r="F47" s="41">
        <f>IF(AND(C47="Escrow",E47&lt;Reassess_Years),"Shorter than the normal reassessment period","")</f>
        <v/>
      </c>
    </row>
    <row r="48">
      <c r="A48" s="25" t="inlineStr">
        <is>
          <t>Objection and reassessment</t>
        </is>
      </c>
      <c r="B48" s="33">
        <f>'Health Check and Risk Register'!E37</f>
        <v/>
      </c>
      <c r="C48" s="15" t="inlineStr">
        <is>
          <t>Escrow</t>
        </is>
      </c>
      <c r="D48" s="18" t="n">
        <v>25000000</v>
      </c>
      <c r="E48" s="17" t="n">
        <v>4</v>
      </c>
      <c r="F48" s="41">
        <f>IF(AND(C48="Escrow",E48&lt;Reassess_Years),"Shorter than the normal reassessment period","")</f>
        <v/>
      </c>
    </row>
    <row r="49">
      <c r="A49" s="25" t="inlineStr">
        <is>
          <t>Corrected withholding returns before closing</t>
        </is>
      </c>
      <c r="B49" s="18" t="n"/>
      <c r="C49" s="15" t="inlineStr">
        <is>
          <t>Condition precedent</t>
        </is>
      </c>
      <c r="D49" s="18" t="n"/>
      <c r="E49" s="17" t="n"/>
      <c r="F49" s="41">
        <f>IF(AND(C49="Escrow",E49&lt;Reassess_Years),"Shorter than the normal reassessment period","")</f>
        <v/>
      </c>
    </row>
    <row r="50">
      <c r="A50" s="32" t="inlineStr">
        <is>
          <t>Escrow of Birr 25,000,000 at Bank A for 4 years with step-down. The asset deal leaves the exposures with the sellers' company at the cost of stamp duty, re-licensing and the loss of the tax losses.</t>
        </is>
      </c>
    </row>
    <row r="51"/>
    <row r="52">
      <c r="A52" s="10" t="inlineStr">
        <is>
          <t>Legal tax minimization only. Figures marked 'confirm' must be checked with the Ministry of Revenues or a tax adviser before use.</t>
        </is>
      </c>
      <c r="B52" s="11" t="n"/>
      <c r="C52" s="11" t="n"/>
      <c r="D52" s="11" t="n"/>
      <c r="E52" s="11" t="n"/>
      <c r="F52" s="11" t="n"/>
    </row>
  </sheetData>
  <mergeCells count="36">
    <mergeCell ref="C17:F17"/>
    <mergeCell ref="C23:F23"/>
    <mergeCell ref="C39:F39"/>
    <mergeCell ref="C8:F8"/>
    <mergeCell ref="C7:F7"/>
    <mergeCell ref="C38:F38"/>
    <mergeCell ref="A50:F50"/>
    <mergeCell ref="C32:F32"/>
    <mergeCell ref="C19:F19"/>
    <mergeCell ref="C37:F37"/>
    <mergeCell ref="C28:F28"/>
    <mergeCell ref="C13:F13"/>
    <mergeCell ref="A2:F2"/>
    <mergeCell ref="C18:F18"/>
    <mergeCell ref="C34:F34"/>
    <mergeCell ref="C6:F6"/>
    <mergeCell ref="C30:F30"/>
    <mergeCell ref="C15:F15"/>
    <mergeCell ref="C33:F33"/>
    <mergeCell ref="C24:F24"/>
    <mergeCell ref="C5:F5"/>
    <mergeCell ref="C14:F14"/>
    <mergeCell ref="A52:F52"/>
    <mergeCell ref="C35:F35"/>
    <mergeCell ref="C26:F26"/>
    <mergeCell ref="C29:F29"/>
    <mergeCell ref="C16:F16"/>
    <mergeCell ref="C25:F25"/>
    <mergeCell ref="C10:F10"/>
    <mergeCell ref="C40:F40"/>
    <mergeCell ref="C9:F9"/>
    <mergeCell ref="C31:F31"/>
    <mergeCell ref="C12:F12"/>
    <mergeCell ref="C11:F11"/>
    <mergeCell ref="C27:F27"/>
    <mergeCell ref="C36:F36"/>
  </mergeCells>
  <conditionalFormatting sqref="B6:B19">
    <cfRule type="cellIs" priority="1" operator="equal" dxfId="1">
      <formula>"Issue found"</formula>
    </cfRule>
    <cfRule type="cellIs" priority="2" operator="equal" dxfId="2">
      <formula>"Done"</formula>
    </cfRule>
  </conditionalFormatting>
  <conditionalFormatting sqref="F44:F49">
    <cfRule type="expression" priority="3" dxfId="0">
      <formula>$F44&lt;&gt;""</formula>
    </cfRule>
  </conditionalFormatting>
  <dataValidations count="2">
    <dataValidation sqref="B6:B19" showDropDown="0" showInputMessage="0" showErrorMessage="0" allowBlank="1" errorTitle="Invalid entry" error="Choose a value from the list." type="list">
      <formula1>"Done,Issue found,N/A"</formula1>
    </dataValidation>
    <dataValidation sqref="C44:C49" showDropDown="0" showInputMessage="0" showErrorMessage="0" allowBlank="1" errorTitle="Invalid entry" error="Choose a value from the list." type="list">
      <formula1>"Price reduction,Specific indemnity,Escrow,Condition precedent,Walk away"</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2026-10-22T15:24:09Z</dcterms:created>
  <dcterms:modified xmlns:dcterms="http://purl.org/dc/terms/" xmlns:xsi="http://www.w3.org/2001/XMLSchema-instance" xsi:type="dcterms:W3CDTF">2026-10-22T15:24:09Z</dcterms:modified>
</cp:coreProperties>
</file>