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ttings" sheetId="2" state="visible" r:id="rId2"/>
    <sheet xmlns:r="http://schemas.openxmlformats.org/officeDocument/2006/relationships" name="Sales Register" sheetId="3" state="visible" r:id="rId3"/>
    <sheet xmlns:r="http://schemas.openxmlformats.org/officeDocument/2006/relationships" name="Purchase Register" sheetId="4" state="visible" r:id="rId4"/>
    <sheet xmlns:r="http://schemas.openxmlformats.org/officeDocument/2006/relationships" name="VAT Return Working" sheetId="5" state="visible" r:id="rId5"/>
    <sheet xmlns:r="http://schemas.openxmlformats.org/officeDocument/2006/relationships" name="VAT to Ledger Recon" sheetId="6" state="visible" r:id="rId6"/>
    <sheet xmlns:r="http://schemas.openxmlformats.org/officeDocument/2006/relationships" name="Withholding Register" sheetId="7" state="visible" r:id="rId7"/>
    <sheet xmlns:r="http://schemas.openxmlformats.org/officeDocument/2006/relationships" name="Withholding Recon" sheetId="8" state="visible" r:id="rId8"/>
    <sheet xmlns:r="http://schemas.openxmlformats.org/officeDocument/2006/relationships" name="Audit Checklist" sheetId="9" state="visible" r:id="rId9"/>
    <sheet xmlns:r="http://schemas.openxmlformats.org/officeDocument/2006/relationships" name="BIT Computation" sheetId="10" state="visible" r:id="rId10"/>
  </sheets>
  <definedNames>
    <definedName name="VAT_RATE">Settings!$C$4</definedName>
    <definedName name="WHT_RATE">Settings!$C$5</definedName>
    <definedName name="WHT_NOTIN">Settings!$C$6</definedName>
    <definedName name="WHT_GOODS_MIN">Settings!$C$7</definedName>
    <definedName name="WHT_SERV_MIN">Settings!$C$8</definedName>
    <definedName name="CASH_LIMIT">Settings!$C$9</definedName>
    <definedName name="CIT_RATE">Settings!$C$10</definedName>
    <definedName name="MAT_RATE">Settings!$C$11</definedName>
    <definedName name="ADV_RATE">Settings!$C$12</definedName>
    <definedName name="DON_CAP">Settings!$C$13</definedName>
    <definedName name="DEP_BUILD">Settings!$C$14</definedName>
    <definedName name="DEP_COMP">Settings!$C$15</definedName>
    <definedName name="DEP_INTANG">Settings!$C$16</definedName>
    <definedName name="DEP_OTHER">Settings!$C$17</definedName>
    <definedName name="DEP_CLASSES">Settings!$A$23:$C$26</definedName>
    <definedName name="_xlnm.Print_Area" localSheetId="0">'Instructions'!$A$1:$C$25</definedName>
    <definedName name="_xlnm.Print_Area" localSheetId="1">'Settings'!$A$1:$C$26</definedName>
    <definedName name="_xlnm.Print_Titles" localSheetId="2">'Sales Register'!$3:$3</definedName>
    <definedName name="_xlnm.Print_Area" localSheetId="2">'Sales Register'!$A$1:$Q$43</definedName>
    <definedName name="_xlnm.Print_Titles" localSheetId="3">'Purchase Register'!$3:$3</definedName>
    <definedName name="_xlnm.Print_Area" localSheetId="3">'Purchase Register'!$A$1:$T$38</definedName>
    <definedName name="_xlnm.Print_Titles" localSheetId="4">'VAT Return Working'!$3:$3</definedName>
    <definedName name="_xlnm.Print_Area" localSheetId="4">'VAT Return Working'!$A$1:$G$18</definedName>
    <definedName name="_xlnm.Print_Titles" localSheetId="5">'VAT to Ledger Recon'!$8:$8</definedName>
    <definedName name="_xlnm.Print_Area" localSheetId="5">'VAT to Ledger Recon'!$A$1:$K$23</definedName>
    <definedName name="_xlnm.Print_Titles" localSheetId="6">'Withholding Register'!$3:$3</definedName>
    <definedName name="_xlnm.Print_Area" localSheetId="6">'Withholding Register'!$A$1:$R$38</definedName>
    <definedName name="_xlnm.Print_Titles" localSheetId="7">'Withholding Recon'!$3:$3</definedName>
    <definedName name="_xlnm.Print_Area" localSheetId="7">'Withholding Recon'!$A$1:$F$24</definedName>
    <definedName name="_xlnm.Print_Titles" localSheetId="8">'Audit Checklist'!$9:$9</definedName>
    <definedName name="_xlnm.Print_Area" localSheetId="8">'Audit Checklist'!$A$1:$K$55</definedName>
    <definedName name="_xlnm.Print_Area" localSheetId="9">'BIT Computation'!$A$1:$I$58</definedName>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00000"/>
    <numFmt numFmtId="167" formatCode="(#,##0);(#,##0);0"/>
  </numFmts>
  <fonts count="10">
    <font>
      <name val="Calibri"/>
      <family val="2"/>
      <color theme="1"/>
      <sz val="11"/>
      <scheme val="minor"/>
    </font>
    <font>
      <name val="Calibri"/>
      <b val="1"/>
      <color rgb="000F4C3A"/>
      <sz val="16"/>
    </font>
    <font>
      <name val="Calibri"/>
      <sz val="11"/>
    </font>
    <font>
      <name val="Calibri"/>
      <b val="1"/>
      <color rgb="000F4C3A"/>
      <sz val="11"/>
    </font>
    <font>
      <name val="Calibri"/>
      <b val="1"/>
      <color rgb="000F4C3A"/>
      <sz val="12"/>
    </font>
    <font>
      <name val="Calibri"/>
      <b val="1"/>
      <color rgb="00FFFFFF"/>
      <sz val="11"/>
    </font>
    <font>
      <name val="Calibri"/>
      <b val="1"/>
      <sz val="11"/>
    </font>
    <font>
      <name val="Calibri"/>
      <i val="1"/>
      <color rgb="000F4C3A"/>
      <sz val="10"/>
    </font>
    <font>
      <name val="Calibri"/>
      <i val="1"/>
      <color rgb="00555555"/>
      <sz val="10"/>
    </font>
    <font>
      <name val="Calibri"/>
      <color rgb="001F1F1F"/>
      <sz val="11"/>
    </font>
  </fonts>
  <fills count="4">
    <fill>
      <patternFill/>
    </fill>
    <fill>
      <patternFill patternType="gray125"/>
    </fill>
    <fill>
      <patternFill patternType="solid">
        <fgColor rgb="000F4C3A"/>
      </patternFill>
    </fill>
    <fill>
      <patternFill patternType="solid">
        <fgColor rgb="00FFF2CC"/>
      </patternFill>
    </fill>
  </fills>
  <borders count="9">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style="thin">
        <color rgb="00BFBFBF"/>
      </right>
      <top style="medium">
        <color rgb="00D4A72C"/>
      </top>
      <bottom style="thin">
        <color rgb="00BFBFBF"/>
      </bottom>
    </border>
  </borders>
  <cellStyleXfs count="1">
    <xf numFmtId="0" fontId="0" fillId="0" borderId="0"/>
  </cellStyleXfs>
  <cellXfs count="41">
    <xf numFmtId="0" fontId="0" fillId="0" borderId="0" pivotButton="0" quotePrefix="0" xfId="0"/>
    <xf numFmtId="0" fontId="1" fillId="0" borderId="1" applyAlignment="1" pivotButton="0" quotePrefix="0" xfId="0">
      <alignment vertical="center"/>
    </xf>
    <xf numFmtId="0" fontId="0"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2" borderId="2" applyAlignment="1" pivotButton="0" quotePrefix="0" xfId="0">
      <alignment horizontal="center" vertical="center" wrapText="1"/>
    </xf>
    <xf numFmtId="0" fontId="0" fillId="0" borderId="2" pivotButton="0" quotePrefix="0" xfId="0"/>
    <xf numFmtId="0" fontId="6" fillId="0" borderId="2" applyAlignment="1" pivotButton="0" quotePrefix="0" xfId="0">
      <alignment vertical="top" wrapText="1"/>
    </xf>
    <xf numFmtId="0" fontId="2" fillId="0" borderId="2" applyAlignment="1" pivotButton="0" quotePrefix="0" xfId="0">
      <alignment vertical="top" wrapText="1"/>
    </xf>
    <xf numFmtId="0" fontId="7" fillId="0" borderId="3" applyAlignment="1" pivotButton="0" quotePrefix="0" xfId="0">
      <alignment horizontal="center" vertical="center"/>
    </xf>
    <xf numFmtId="0" fontId="0" fillId="0" borderId="3" pivotButton="0" quotePrefix="0" xfId="0"/>
    <xf numFmtId="0" fontId="4" fillId="0" borderId="1" applyAlignment="1" pivotButton="0" quotePrefix="0" xfId="0">
      <alignment vertical="center" wrapText="1"/>
    </xf>
    <xf numFmtId="9" fontId="2" fillId="3" borderId="2" applyAlignment="1" applyProtection="1" pivotButton="0" quotePrefix="0" xfId="0">
      <alignment horizontal="right" vertical="top" wrapText="1"/>
      <protection locked="0" hidden="0"/>
    </xf>
    <xf numFmtId="164" fontId="2" fillId="3" borderId="2" applyAlignment="1" applyProtection="1" pivotButton="0" quotePrefix="0" xfId="0">
      <alignment horizontal="right" vertical="top" wrapText="1"/>
      <protection locked="0" hidden="0"/>
    </xf>
    <xf numFmtId="165" fontId="2" fillId="3" borderId="2" applyAlignment="1" applyProtection="1" pivotButton="0" quotePrefix="0" xfId="0">
      <alignment horizontal="right" vertical="top" wrapText="1"/>
      <protection locked="0" hidden="0"/>
    </xf>
    <xf numFmtId="0" fontId="8" fillId="0" borderId="0" applyAlignment="1" pivotButton="0" quotePrefix="0" xfId="0">
      <alignment vertical="top" wrapText="1"/>
    </xf>
    <xf numFmtId="9" fontId="9" fillId="0" borderId="2" applyAlignment="1" pivotButton="0" quotePrefix="0" xfId="0">
      <alignment horizontal="right" vertical="top" wrapText="1"/>
    </xf>
    <xf numFmtId="0" fontId="2" fillId="3" borderId="2" applyAlignment="1" applyProtection="1" pivotButton="0" quotePrefix="0" xfId="0">
      <alignment vertical="top" wrapText="1"/>
      <protection locked="0" hidden="0"/>
    </xf>
    <xf numFmtId="0" fontId="2" fillId="3" borderId="2" applyAlignment="1" applyProtection="1" pivotButton="0" quotePrefix="0" xfId="0">
      <alignment horizontal="center" vertical="top" wrapText="1"/>
      <protection locked="0" hidden="0"/>
    </xf>
    <xf numFmtId="9" fontId="9" fillId="0" borderId="2" applyAlignment="1" pivotButton="0" quotePrefix="0" xfId="0">
      <alignment horizontal="center" vertical="top" wrapText="1"/>
    </xf>
    <xf numFmtId="164" fontId="9" fillId="0" borderId="2" applyAlignment="1" pivotButton="0" quotePrefix="0" xfId="0">
      <alignment horizontal="right" vertical="top" wrapText="1"/>
    </xf>
    <xf numFmtId="0" fontId="9" fillId="0" borderId="2" applyAlignment="1" pivotButton="0" quotePrefix="0" xfId="0">
      <alignment horizontal="center" vertical="top" wrapText="1"/>
    </xf>
    <xf numFmtId="166" fontId="2" fillId="3" borderId="2" applyAlignment="1" applyProtection="1" pivotButton="0" quotePrefix="0" xfId="0">
      <alignment horizontal="center" vertical="top" wrapText="1"/>
      <protection locked="0" hidden="0"/>
    </xf>
    <xf numFmtId="164" fontId="6" fillId="0" borderId="2" applyAlignment="1" pivotButton="0" quotePrefix="0" xfId="0">
      <alignment horizontal="right" vertical="top" wrapText="1"/>
    </xf>
    <xf numFmtId="0" fontId="2" fillId="0" borderId="2" applyAlignment="1" pivotButton="0" quotePrefix="0" xfId="0">
      <alignment horizontal="center" vertical="top" wrapText="1"/>
    </xf>
    <xf numFmtId="0" fontId="2" fillId="3" borderId="2" applyAlignment="1" applyProtection="1" pivotButton="0" quotePrefix="0" xfId="0">
      <alignment horizontal="left" vertical="top" wrapText="1"/>
      <protection locked="0" hidden="0"/>
    </xf>
    <xf numFmtId="0" fontId="0" fillId="0" borderId="6" pivotButton="0" quotePrefix="0" xfId="0"/>
    <xf numFmtId="0" fontId="0" fillId="0" borderId="7" pivotButton="0" quotePrefix="0" xfId="0"/>
    <xf numFmtId="0" fontId="6" fillId="0" borderId="2" applyAlignment="1" pivotButton="0" quotePrefix="0" xfId="0">
      <alignment horizontal="center" vertical="top" wrapText="1"/>
    </xf>
    <xf numFmtId="0" fontId="6" fillId="0" borderId="8" applyAlignment="1" pivotButton="0" quotePrefix="0" xfId="0">
      <alignment vertical="top" wrapText="1"/>
    </xf>
    <xf numFmtId="0" fontId="6" fillId="0" borderId="8" pivotButton="0" quotePrefix="0" xfId="0"/>
    <xf numFmtId="164" fontId="6" fillId="0" borderId="8" applyAlignment="1" pivotButton="0" quotePrefix="0" xfId="0">
      <alignment horizontal="right" vertical="top" wrapText="1"/>
    </xf>
    <xf numFmtId="0" fontId="0" fillId="0" borderId="7" applyProtection="1" pivotButton="0" quotePrefix="0" xfId="0">
      <protection locked="0" hidden="0"/>
    </xf>
    <xf numFmtId="0" fontId="0" fillId="0" borderId="6" applyProtection="1" pivotButton="0" quotePrefix="0" xfId="0">
      <protection locked="0" hidden="0"/>
    </xf>
    <xf numFmtId="1" fontId="6" fillId="0" borderId="2" applyAlignment="1" pivotButton="0" quotePrefix="0" xfId="0">
      <alignment horizontal="right" vertical="top" wrapText="1"/>
    </xf>
    <xf numFmtId="165" fontId="6" fillId="0" borderId="2" applyAlignment="1" pivotButton="0" quotePrefix="0" xfId="0">
      <alignment horizontal="right" vertical="top" wrapText="1"/>
    </xf>
    <xf numFmtId="167" fontId="9" fillId="0" borderId="2" applyAlignment="1" pivotButton="0" quotePrefix="0" xfId="0">
      <alignment horizontal="right" vertical="top" wrapText="1"/>
    </xf>
    <xf numFmtId="165" fontId="9" fillId="0" borderId="2" applyAlignment="1" pivotButton="0" quotePrefix="0" xfId="0">
      <alignment horizontal="right" vertical="top" wrapText="1"/>
    </xf>
    <xf numFmtId="167" fontId="2" fillId="3" borderId="2" applyAlignment="1" applyProtection="1" pivotButton="0" quotePrefix="0" xfId="0">
      <alignment horizontal="right" vertical="top" wrapText="1"/>
      <protection locked="0" hidden="0"/>
    </xf>
    <xf numFmtId="0" fontId="9" fillId="0" borderId="2" applyAlignment="1" pivotButton="0" quotePrefix="0" xfId="0">
      <alignment vertical="top" wrapText="1"/>
    </xf>
  </cellXfs>
  <cellStyles count="1">
    <cellStyle name="Normal" xfId="0" builtinId="0" hidden="0"/>
  </cellStyles>
  <dxfs count="3">
    <dxf>
      <font>
        <b val="1"/>
        <color rgb="009C0006"/>
      </font>
      <fill>
        <patternFill patternType="solid">
          <fgColor rgb="00FFC7CE"/>
          <bgColor rgb="00FFC7CE"/>
        </patternFill>
      </fill>
    </dxf>
    <dxf>
      <fill>
        <patternFill patternType="solid">
          <fgColor rgb="00FFEB9C"/>
          <bgColor rgb="00FFEB9C"/>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4C3A"/>
    <outlinePr summaryBelow="1" summaryRight="1"/>
    <pageSetUpPr fitToPage="1"/>
  </sheetPr>
  <dimension ref="A1:C25"/>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VAT and withholding reconciliation: Kebena Packaging Industries PLC (sample)</t>
        </is>
      </c>
      <c r="B1" s="2" t="n"/>
      <c r="C1" s="2" t="n"/>
    </row>
    <row r="2" ht="33" customHeight="1">
      <c r="A2" s="3" t="inlineStr">
        <is>
          <t>Course: Taxation Fundamentals for Ethiopian Businesses, Level 2: Business Tax Management (tax-l2, Professional Certificate). Used for the practical exercise "Quarter-end VAT and withholding reconciliation and an audit-ready tax file" and referenced in modules 1 to 6.</t>
        </is>
      </c>
    </row>
    <row r="3" ht="33" customHeight="1">
      <c r="A3" s="4" t="inlineStr">
        <is>
          <t>Purpose: reconcile one quarter's VAT and withholding to the general ledger and prepare an audit-ready tax file, then compute the annual business income tax.</t>
        </is>
      </c>
    </row>
    <row r="4" ht="48" customHeight="1">
      <c r="A4" s="4" t="inlineStr">
        <is>
          <t>Steps (match the practical exercise): (1) fill the Sales and Purchase Registers; (2) review the VAT Return Working for each month; (3) complete the VAT to Ledger Recon and explain every difference; (4) fill the Withholding Register and complete the Withholding Recon; (5) complete the BIT Computation; (6) work through the Audit Checklist and build the file index.</t>
        </is>
      </c>
    </row>
    <row r="5" ht="48" customHeight="1">
      <c r="A5" s="4" t="inlineStr">
        <is>
          <t>Legal basis: rates and thresholds follow Income Tax Proclamation No. 979/2016 as amended by No. 1395/2025, VAT Proclamation No. 1341/2024 and Tax Administration Proclamation No. 983/2016 as amended by No. 1434/2026, as taught in the course. Check the current rules with the Ministry of Revenues before filing.</t>
        </is>
      </c>
    </row>
    <row r="6" ht="48" customHeight="1">
      <c r="A6" s="4" t="inlineStr">
        <is>
          <t>Sample data is fictional: Kebena Packaging Industries PLC and all names in the sample are fictional. The quarter is Hamle to Meskerem of FY 2026/27 for VAT and withholding, and FY 2025/26 for income tax. Dates are typed as text in the Ethiopian calendar (for example "Meskerem 29, 2019 E.C."). Amounts are in ETB.</t>
        </is>
      </c>
    </row>
    <row r="7" ht="33" customHeight="1">
      <c r="A7" s="4" t="inlineStr">
        <is>
          <t>Cell colors: light yellow cells are inputs you replace with your own data. Unshaded cells hold formulas that calculate automatically; do not type over them. Drop-down lists control the fixed choices.</t>
        </is>
      </c>
    </row>
    <row r="8">
      <c r="A8" s="4" t="inlineStr">
        <is>
          <t>Rates and thresholds reflect the course's sources as of October 2026. Check them against current Ministry of Revenues guidance before filing.</t>
        </is>
      </c>
    </row>
    <row r="9"/>
    <row r="10">
      <c r="A10" s="5" t="inlineStr">
        <is>
          <t>How to use each sheet</t>
        </is>
      </c>
    </row>
    <row r="11" ht="20" customHeight="1">
      <c r="A11" s="6" t="inlineStr"/>
      <c r="B11" s="6" t="inlineStr">
        <is>
          <t>Sheet</t>
        </is>
      </c>
      <c r="C11" s="6" t="inlineStr">
        <is>
          <t>How to use it</t>
        </is>
      </c>
    </row>
    <row r="12" ht="33" customHeight="1">
      <c r="A12" s="7" t="n"/>
      <c r="B12" s="8" t="inlineStr">
        <is>
          <t>Settings</t>
        </is>
      </c>
      <c r="C12" s="9" t="inlineStr">
        <is>
          <t>Named rates and thresholds used by every formula (VAT, withholding, cash limit, income tax, MAT, advance tax, donation cap, depreciation). Change a value here only when the law changes.</t>
        </is>
      </c>
    </row>
    <row r="13" ht="48" customHeight="1">
      <c r="A13" s="7" t="n"/>
      <c r="B13" s="8" t="inlineStr">
        <is>
          <t>Sales Register</t>
        </is>
      </c>
      <c r="C13" s="9" t="inlineStr">
        <is>
          <t>One row per sales invoice; months already closed can be brought in as one total row. Columns H, I, J, M and P calculate. M flags gaps in the invoice sequence (export invoices use their own series and are skipped); P shows customer withholding receipts to chase.</t>
        </is>
      </c>
    </row>
    <row r="14" ht="48" customHeight="1">
      <c r="A14" s="7" t="n"/>
      <c r="B14" s="8" t="inlineStr">
        <is>
          <t>Purchase Register</t>
        </is>
      </c>
      <c r="C14" s="9" t="inlineStr">
        <is>
          <t>One row per purchase invoice or customs declaration. Mark whether a valid invoice is held and whether the VAT is creditable by nature. N, O and P split the VAT into creditable, non-creditable (expense) and pending; S flags cash payments above the limit.</t>
        </is>
      </c>
    </row>
    <row r="15" ht="48" customHeight="1">
      <c r="A15" s="7" t="n"/>
      <c r="B15" s="8" t="inlineStr">
        <is>
          <t>VAT Return Working</t>
        </is>
      </c>
      <c r="C15" s="9" t="inlineStr">
        <is>
          <t>Calculates each month's return from the registers. Enter reverse charge VAT, VAT withheld by government buyers, the opening credit and the net VAT per the return as first prepared; the difference row shows what changed.</t>
        </is>
      </c>
    </row>
    <row r="16" ht="33" customHeight="1">
      <c r="A16" s="7" t="n"/>
      <c r="B16" s="8" t="inlineStr">
        <is>
          <t>VAT to Ledger Recon</t>
        </is>
      </c>
      <c r="C16" s="9" t="inlineStr">
        <is>
          <t>Enter the ledger balances in column C and explain each difference with up to two reconciling items. Unexplained differences show in red. List the corrections below.</t>
        </is>
      </c>
    </row>
    <row r="17" ht="33" customHeight="1">
      <c r="A17" s="7" t="n"/>
      <c r="B17" s="8" t="inlineStr">
        <is>
          <t>Withholding Register</t>
        </is>
      </c>
      <c r="C17" s="9" t="inlineStr">
        <is>
          <t>Section A: withholding on payments made, with the threshold test on the contract value and the 30% no-TIN rate. Section B: withholding deducted by customers, with receipts to chase.</t>
        </is>
      </c>
    </row>
    <row r="18" ht="33" customHeight="1">
      <c r="A18" s="7" t="n"/>
      <c r="B18" s="8" t="inlineStr">
        <is>
          <t>Withholding Recon</t>
        </is>
      </c>
      <c r="C18" s="9" t="inlineStr">
        <is>
          <t>Compares the register, the ledger and the remittance receipts by month, and holds the annual credits summary used by the BIT Computation.</t>
        </is>
      </c>
    </row>
    <row r="19" ht="33" customHeight="1">
      <c r="A19" s="7" t="n"/>
      <c r="B19" s="8" t="inlineStr">
        <is>
          <t>Audit Checklist</t>
        </is>
      </c>
      <c r="C19" s="9" t="inlineStr">
        <is>
          <t>Status of each document for a field audit (Ready, Missing, Alternative evidence), the file index and a draft findings response with the amount to pay now.</t>
        </is>
      </c>
    </row>
    <row r="20" ht="33" customHeight="1">
      <c r="A20" s="7" t="n"/>
      <c r="B20" s="8" t="inlineStr">
        <is>
          <t>BIT Computation</t>
        </is>
      </c>
      <c r="C20" s="9" t="inlineStr">
        <is>
          <t>Tax depreciation schedule, taxable income with add-backs, the MAT test, credits, the balance payable, next year's installment, tax expense with deferred tax and a quarterly MAT watch.</t>
        </is>
      </c>
    </row>
    <row r="21"/>
    <row r="22">
      <c r="A22" s="5" t="inlineStr">
        <is>
          <t>Clearing the sample data</t>
        </is>
      </c>
    </row>
    <row r="23" ht="33" customHeight="1">
      <c r="A23" s="4" t="inlineStr">
        <is>
          <t>Select the light yellow cells on each sheet and press Delete, or type over them. Formulas show zero or blank until you enter new data. Do not delete the unshaded formula cells, the rates sheet or the headers.</t>
        </is>
      </c>
    </row>
    <row r="24"/>
    <row r="25" ht="22" customHeight="1">
      <c r="A25" s="10" t="inlineStr">
        <is>
          <t>Investopia Academy · A platform by Erudite Africa Investments PLC · investopia.et</t>
        </is>
      </c>
      <c r="B25" s="11" t="n"/>
      <c r="C25" s="11" t="n"/>
    </row>
  </sheetData>
  <mergeCells count="9">
    <mergeCell ref="A25:C25"/>
    <mergeCell ref="A5:C5"/>
    <mergeCell ref="A23:C23"/>
    <mergeCell ref="A8:C8"/>
    <mergeCell ref="A6:C6"/>
    <mergeCell ref="A3:C3"/>
    <mergeCell ref="A7:C7"/>
    <mergeCell ref="A4:C4"/>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C26"/>
  <sheetViews>
    <sheetView showGridLines="0" workbookViewId="0">
      <pane ySplit="3" topLeftCell="A4" activePane="bottomLeft" state="frozen"/>
      <selection pane="bottomLeft" activeCell="A1" sqref="A1"/>
    </sheetView>
  </sheetViews>
  <sheetFormatPr baseColWidth="8" defaultRowHeight="15"/>
  <cols>
    <col width="18" customWidth="1" min="1" max="1"/>
    <col width="70" customWidth="1" min="2" max="2"/>
    <col width="14" customWidth="1" min="3" max="3"/>
  </cols>
  <sheetData>
    <row r="1" ht="33" customHeight="1">
      <c r="A1" s="12" t="inlineStr">
        <is>
          <t>Settings: the rates and thresholds used by every formula in this workbook. Yellow values are named cells; update them only when the law changes.</t>
        </is>
      </c>
      <c r="B1" s="2" t="n"/>
      <c r="C1" s="2" t="n"/>
    </row>
    <row r="2"/>
    <row r="3" ht="20" customHeight="1">
      <c r="A3" s="6" t="inlineStr">
        <is>
          <t>Name</t>
        </is>
      </c>
      <c r="B3" s="6" t="inlineStr">
        <is>
          <t>Label</t>
        </is>
      </c>
      <c r="C3" s="6" t="inlineStr">
        <is>
          <t>Value</t>
        </is>
      </c>
    </row>
    <row r="4">
      <c r="A4" s="8" t="inlineStr">
        <is>
          <t>VAT_RATE</t>
        </is>
      </c>
      <c r="B4" s="9" t="inlineStr">
        <is>
          <t>VAT standard rate</t>
        </is>
      </c>
      <c r="C4" s="13" t="n">
        <v>0.15</v>
      </c>
    </row>
    <row r="5">
      <c r="A5" s="8" t="inlineStr">
        <is>
          <t>WHT_RATE</t>
        </is>
      </c>
      <c r="B5" s="9" t="inlineStr">
        <is>
          <t>Withholding on goods and services</t>
        </is>
      </c>
      <c r="C5" s="13" t="n">
        <v>0.03</v>
      </c>
    </row>
    <row r="6">
      <c r="A6" s="8" t="inlineStr">
        <is>
          <t>WHT_NOTIN</t>
        </is>
      </c>
      <c r="B6" s="9" t="inlineStr">
        <is>
          <t>Withholding where supplier has no TIN or business license</t>
        </is>
      </c>
      <c r="C6" s="13" t="n">
        <v>0.3</v>
      </c>
    </row>
    <row r="7">
      <c r="A7" s="8" t="inlineStr">
        <is>
          <t>WHT_GOODS_MIN</t>
        </is>
      </c>
      <c r="B7" s="9" t="inlineStr">
        <is>
          <t>Goods threshold (withhold above), per transaction or contract (ETB)</t>
        </is>
      </c>
      <c r="C7" s="14" t="n">
        <v>20000</v>
      </c>
    </row>
    <row r="8">
      <c r="A8" s="8" t="inlineStr">
        <is>
          <t>WHT_SERV_MIN</t>
        </is>
      </c>
      <c r="B8" s="9" t="inlineStr">
        <is>
          <t>Services threshold (withhold above), per transaction or contract (ETB)</t>
        </is>
      </c>
      <c r="C8" s="14" t="n">
        <v>10000</v>
      </c>
    </row>
    <row r="9">
      <c r="A9" s="8" t="inlineStr">
        <is>
          <t>CASH_LIMIT</t>
        </is>
      </c>
      <c r="B9" s="9" t="inlineStr">
        <is>
          <t>Cash payment limit outside the bank (ETB)</t>
        </is>
      </c>
      <c r="C9" s="14" t="n">
        <v>50000</v>
      </c>
    </row>
    <row r="10">
      <c r="A10" s="8" t="inlineStr">
        <is>
          <t>CIT_RATE</t>
        </is>
      </c>
      <c r="B10" s="9" t="inlineStr">
        <is>
          <t>Business income tax rate for bodies</t>
        </is>
      </c>
      <c r="C10" s="13" t="n">
        <v>0.3</v>
      </c>
    </row>
    <row r="11">
      <c r="A11" s="8" t="inlineStr">
        <is>
          <t>MAT_RATE</t>
        </is>
      </c>
      <c r="B11" s="9" t="inlineStr">
        <is>
          <t>Minimum alternative tax, % of turnover</t>
        </is>
      </c>
      <c r="C11" s="15" t="n">
        <v>0.025</v>
      </c>
    </row>
    <row r="12">
      <c r="A12" s="8" t="inlineStr">
        <is>
          <t>ADV_RATE</t>
        </is>
      </c>
      <c r="B12" s="9" t="inlineStr">
        <is>
          <t>Quarterly advance tax, % of prior year tax</t>
        </is>
      </c>
      <c r="C12" s="13" t="n">
        <v>0.25</v>
      </c>
    </row>
    <row r="13">
      <c r="A13" s="8" t="inlineStr">
        <is>
          <t>DON_CAP</t>
        </is>
      </c>
      <c r="B13" s="9" t="inlineStr">
        <is>
          <t>Donation cap, % of taxable income</t>
        </is>
      </c>
      <c r="C13" s="13" t="n">
        <v>0.1</v>
      </c>
    </row>
    <row r="14">
      <c r="A14" s="8" t="inlineStr">
        <is>
          <t>DEP_BUILD</t>
        </is>
      </c>
      <c r="B14" s="9" t="inlineStr">
        <is>
          <t>Buildings, straight-line</t>
        </is>
      </c>
      <c r="C14" s="13" t="n">
        <v>0.05</v>
      </c>
    </row>
    <row r="15">
      <c r="A15" s="8" t="inlineStr">
        <is>
          <t>DEP_COMP</t>
        </is>
      </c>
      <c r="B15" s="9" t="inlineStr">
        <is>
          <t>Computers and software, straight-line (25% diminishing value)</t>
        </is>
      </c>
      <c r="C15" s="13" t="n">
        <v>0.2</v>
      </c>
    </row>
    <row r="16">
      <c r="A16" s="8" t="inlineStr">
        <is>
          <t>DEP_INTANG</t>
        </is>
      </c>
      <c r="B16" s="9" t="inlineStr">
        <is>
          <t>Business intangibles, straight-line</t>
        </is>
      </c>
      <c r="C16" s="13" t="n">
        <v>0.25</v>
      </c>
    </row>
    <row r="17">
      <c r="A17" s="8" t="inlineStr">
        <is>
          <t>DEP_OTHER</t>
        </is>
      </c>
      <c r="B17" s="9" t="inlineStr">
        <is>
          <t>Other assets incl. machinery and vehicles, straight-line (20% diminishing value)</t>
        </is>
      </c>
      <c r="C17" s="13" t="n">
        <v>0.15</v>
      </c>
    </row>
    <row r="18"/>
    <row r="19" ht="48" customHeight="1">
      <c r="A19" s="16" t="inlineStr">
        <is>
          <t>The withholding base used in the sample is the price before VAT, which is common practice; confirm the base for your own case with the Ministry of Revenues. Rates and thresholds reflect the course's sources as of October 2026. Check them against current Ministry of Revenues guidance before filing.</t>
        </is>
      </c>
    </row>
    <row r="20"/>
    <row r="21">
      <c r="A21" s="5" t="inlineStr">
        <is>
          <t>Depreciation classes (used by the BIT Computation)</t>
        </is>
      </c>
    </row>
    <row r="22" ht="20" customHeight="1">
      <c r="A22" s="6" t="inlineStr">
        <is>
          <t>Class</t>
        </is>
      </c>
      <c r="B22" s="6" t="inlineStr">
        <is>
          <t>Setting</t>
        </is>
      </c>
      <c r="C22" s="6" t="inlineStr">
        <is>
          <t>Rate</t>
        </is>
      </c>
    </row>
    <row r="23">
      <c r="A23" s="8" t="inlineStr">
        <is>
          <t>Building</t>
        </is>
      </c>
      <c r="B23" s="9" t="inlineStr">
        <is>
          <t>DEP_BUILD</t>
        </is>
      </c>
      <c r="C23" s="17">
        <f>DEP_BUILD</f>
        <v/>
      </c>
    </row>
    <row r="24" ht="33" customHeight="1">
      <c r="A24" s="8" t="inlineStr">
        <is>
          <t>Computers and software</t>
        </is>
      </c>
      <c r="B24" s="9" t="inlineStr">
        <is>
          <t>DEP_COMP</t>
        </is>
      </c>
      <c r="C24" s="17">
        <f>DEP_COMP</f>
        <v/>
      </c>
    </row>
    <row r="25">
      <c r="A25" s="8" t="inlineStr">
        <is>
          <t>Intangible</t>
        </is>
      </c>
      <c r="B25" s="9" t="inlineStr">
        <is>
          <t>DEP_INTANG</t>
        </is>
      </c>
      <c r="C25" s="17">
        <f>DEP_INTANG</f>
        <v/>
      </c>
    </row>
    <row r="26">
      <c r="A26" s="8" t="inlineStr">
        <is>
          <t>Other</t>
        </is>
      </c>
      <c r="B26" s="9" t="inlineStr">
        <is>
          <t>DEP_OTHER</t>
        </is>
      </c>
      <c r="C26" s="17">
        <f>DEP_OTHER</f>
        <v/>
      </c>
    </row>
  </sheetData>
  <mergeCells count="2">
    <mergeCell ref="A1:C1"/>
    <mergeCell ref="A19:C19"/>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Q43"/>
  <sheetViews>
    <sheetView showGridLines="0" workbookViewId="0">
      <pane xSplit="4" ySplit="3" topLeftCell="E4" activePane="bottomRight" state="frozen"/>
      <selection pane="topRight"/>
      <selection pane="bottomLeft"/>
      <selection pane="bottomRight" activeCell="A1" sqref="A1"/>
    </sheetView>
  </sheetViews>
  <sheetFormatPr baseColWidth="8" defaultRowHeight="15"/>
  <cols>
    <col width="20" customWidth="1" min="1" max="1"/>
    <col width="13" customWidth="1" min="2" max="2"/>
    <col width="10" customWidth="1" min="3" max="3"/>
    <col width="28" customWidth="1" min="4" max="4"/>
    <col width="11" customWidth="1" min="5" max="5"/>
    <col width="11" customWidth="1" min="6" max="6"/>
    <col width="14" customWidth="1" min="7" max="7"/>
    <col width="8" customWidth="1" min="8" max="8"/>
    <col width="13" customWidth="1" min="9" max="9"/>
    <col width="14" customWidth="1" min="10" max="10"/>
    <col width="12" customWidth="1" min="11" max="11"/>
    <col width="9" customWidth="1" min="12" max="12"/>
    <col width="11" customWidth="1" min="13" max="13"/>
    <col width="13" customWidth="1" min="14" max="14"/>
    <col width="13" customWidth="1" min="15" max="15"/>
    <col width="13" customWidth="1" min="16" max="16"/>
    <col width="30" customWidth="1" min="17" max="17"/>
  </cols>
  <sheetData>
    <row r="1" ht="30" customHeight="1">
      <c r="A1" s="12" t="inlineStr">
        <is>
          <t>Sales Register: every sales invoice of the quarter (months already closed may be brought in as one total). VAT, sequence gaps and missing customer withholding receipts calculate automatically.</t>
        </is>
      </c>
      <c r="B1" s="2" t="n"/>
      <c r="C1" s="2" t="n"/>
      <c r="D1" s="2" t="n"/>
      <c r="E1" s="2" t="n"/>
      <c r="F1" s="2" t="n"/>
      <c r="G1" s="2" t="n"/>
      <c r="H1" s="2" t="n"/>
      <c r="I1" s="2" t="n"/>
      <c r="J1" s="2" t="n"/>
      <c r="K1" s="2" t="n"/>
      <c r="L1" s="2" t="n"/>
      <c r="M1" s="2" t="n"/>
      <c r="N1" s="2" t="n"/>
      <c r="O1" s="2" t="n"/>
      <c r="P1" s="2" t="n"/>
      <c r="Q1" s="2" t="n"/>
    </row>
    <row r="2"/>
    <row r="3" ht="63" customHeight="1">
      <c r="A3" s="6" t="inlineStr">
        <is>
          <t>Date</t>
        </is>
      </c>
      <c r="B3" s="6" t="inlineStr">
        <is>
          <t>Period</t>
        </is>
      </c>
      <c r="C3" s="6" t="inlineStr">
        <is>
          <t>Invoice no.</t>
        </is>
      </c>
      <c r="D3" s="6" t="inlineStr">
        <is>
          <t>Customer</t>
        </is>
      </c>
      <c r="E3" s="6" t="inlineStr">
        <is>
          <t>Customer TIN</t>
        </is>
      </c>
      <c r="F3" s="6" t="inlineStr">
        <is>
          <t>Type</t>
        </is>
      </c>
      <c r="G3" s="6" t="inlineStr">
        <is>
          <t>Amount before VAT (ETB)</t>
        </is>
      </c>
      <c r="H3" s="6" t="inlineStr">
        <is>
          <t>VAT rate</t>
        </is>
      </c>
      <c r="I3" s="6" t="inlineStr">
        <is>
          <t>VAT (ETB)</t>
        </is>
      </c>
      <c r="J3" s="6" t="inlineStr">
        <is>
          <t>Total (ETB)</t>
        </is>
      </c>
      <c r="K3" s="6" t="inlineStr">
        <is>
          <t>Included in return working as first prepared</t>
        </is>
      </c>
      <c r="L3" s="6" t="inlineStr">
        <is>
          <t>In ledger</t>
        </is>
      </c>
      <c r="M3" s="6" t="inlineStr">
        <is>
          <t>Sequence check</t>
        </is>
      </c>
      <c r="N3" s="6" t="inlineStr">
        <is>
          <t>Withholding deducted by customer (ETB)</t>
        </is>
      </c>
      <c r="O3" s="6" t="inlineStr">
        <is>
          <t>Customer receipt no.</t>
        </is>
      </c>
      <c r="P3" s="6" t="inlineStr">
        <is>
          <t>Receipt status</t>
        </is>
      </c>
      <c r="Q3" s="6" t="inlineStr">
        <is>
          <t>Notes</t>
        </is>
      </c>
    </row>
    <row r="4" ht="33" customHeight="1">
      <c r="A4" s="18" t="inlineStr">
        <is>
          <t>Monthly total brought in</t>
        </is>
      </c>
      <c r="B4" s="18" t="inlineStr">
        <is>
          <t>Hamle</t>
        </is>
      </c>
      <c r="C4" s="19" t="n"/>
      <c r="D4" s="18" t="inlineStr">
        <is>
          <t>Taxable sales total for Hamle</t>
        </is>
      </c>
      <c r="E4" s="18" t="n"/>
      <c r="F4" s="18" t="inlineStr">
        <is>
          <t>Taxable</t>
        </is>
      </c>
      <c r="G4" s="14" t="n">
        <v>12600000</v>
      </c>
      <c r="H4" s="20">
        <f>IF(G4="","",IF(F4="Taxable",VAT_RATE,0))</f>
        <v/>
      </c>
      <c r="I4" s="21">
        <f>IF(G4="","",ROUND(G4*H4,0))</f>
        <v/>
      </c>
      <c r="J4" s="21">
        <f>IF(G4="","",G4+I4)</f>
        <v/>
      </c>
      <c r="K4" s="19" t="inlineStr">
        <is>
          <t>Yes</t>
        </is>
      </c>
      <c r="L4" s="19" t="inlineStr">
        <is>
          <t>Yes</t>
        </is>
      </c>
      <c r="M4" s="22">
        <f>IF(OR(F4="Zero-rated",NOT(ISNUMBER(C4))),"",IF(COUNT(C$3:C3)=0,"",IF(C4-MAX(C$3:C3)&lt;&gt;1,"Gap: check","")))</f>
        <v/>
      </c>
      <c r="N4" s="14" t="n"/>
      <c r="O4" s="18" t="n"/>
      <c r="P4" s="22">
        <f>IF(OR(N4="",N4=0),"",IF(O4="","Missing: chase","Held"))</f>
        <v/>
      </c>
      <c r="Q4" s="18" t="n"/>
    </row>
    <row r="5" ht="33" customHeight="1">
      <c r="A5" s="18" t="inlineStr">
        <is>
          <t>Monthly total brought in</t>
        </is>
      </c>
      <c r="B5" s="18" t="inlineStr">
        <is>
          <t>Nehase and Pagume</t>
        </is>
      </c>
      <c r="C5" s="19" t="n"/>
      <c r="D5" s="18" t="inlineStr">
        <is>
          <t>Taxable sales total for Nehase and Pagume</t>
        </is>
      </c>
      <c r="E5" s="18" t="n"/>
      <c r="F5" s="18" t="inlineStr">
        <is>
          <t>Taxable</t>
        </is>
      </c>
      <c r="G5" s="14" t="n">
        <v>12200000</v>
      </c>
      <c r="H5" s="20">
        <f>IF(G5="","",IF(F5="Taxable",VAT_RATE,0))</f>
        <v/>
      </c>
      <c r="I5" s="21">
        <f>IF(G5="","",ROUND(G5*H5,0))</f>
        <v/>
      </c>
      <c r="J5" s="21">
        <f>IF(G5="","",G5+I5)</f>
        <v/>
      </c>
      <c r="K5" s="19" t="inlineStr">
        <is>
          <t>Yes</t>
        </is>
      </c>
      <c r="L5" s="19" t="inlineStr">
        <is>
          <t>Yes</t>
        </is>
      </c>
      <c r="M5" s="22">
        <f>IF(OR(F5="Zero-rated",NOT(ISNUMBER(C5))),"",IF(COUNT(C$3:C4)=0,"",IF(C5-MAX(C$3:C4)&lt;&gt;1,"Gap: check","")))</f>
        <v/>
      </c>
      <c r="N5" s="14" t="n"/>
      <c r="O5" s="18" t="n"/>
      <c r="P5" s="22">
        <f>IF(OR(N5="",N5=0),"",IF(O5="","Missing: chase","Held"))</f>
        <v/>
      </c>
      <c r="Q5" s="18" t="n"/>
    </row>
    <row r="6">
      <c r="A6" s="18" t="inlineStr">
        <is>
          <t>Meskerem 3, 2019 E.C.</t>
        </is>
      </c>
      <c r="B6" s="18" t="inlineStr">
        <is>
          <t>Meskerem</t>
        </is>
      </c>
      <c r="C6" s="23" t="n">
        <v>4812</v>
      </c>
      <c r="D6" s="18" t="inlineStr">
        <is>
          <t>Adama Juice Factory PLC</t>
        </is>
      </c>
      <c r="E6" s="18" t="inlineStr">
        <is>
          <t>On file</t>
        </is>
      </c>
      <c r="F6" s="18" t="inlineStr">
        <is>
          <t>Taxable</t>
        </is>
      </c>
      <c r="G6" s="14" t="n">
        <v>3600000</v>
      </c>
      <c r="H6" s="20">
        <f>IF(G6="","",IF(F6="Taxable",VAT_RATE,0))</f>
        <v/>
      </c>
      <c r="I6" s="21">
        <f>IF(G6="","",ROUND(G6*H6,0))</f>
        <v/>
      </c>
      <c r="J6" s="21">
        <f>IF(G6="","",G6+I6)</f>
        <v/>
      </c>
      <c r="K6" s="19" t="inlineStr">
        <is>
          <t>Yes</t>
        </is>
      </c>
      <c r="L6" s="19" t="inlineStr">
        <is>
          <t>Yes</t>
        </is>
      </c>
      <c r="M6" s="22">
        <f>IF(OR(F6="Zero-rated",NOT(ISNUMBER(C6))),"",IF(COUNT(C$3:C5)=0,"",IF(C6-MAX(C$3:C5)&lt;&gt;1,"Gap: check","")))</f>
        <v/>
      </c>
      <c r="N6" s="14" t="n">
        <v>108000</v>
      </c>
      <c r="O6" s="18" t="inlineStr">
        <is>
          <t>WR-AJ-0917</t>
        </is>
      </c>
      <c r="P6" s="22">
        <f>IF(OR(N6="",N6=0),"",IF(O6="","Missing: chase","Held"))</f>
        <v/>
      </c>
      <c r="Q6" s="18" t="n"/>
    </row>
    <row r="7" ht="33" customHeight="1">
      <c r="A7" s="18" t="inlineStr">
        <is>
          <t>Meskerem 8, 2019 E.C.</t>
        </is>
      </c>
      <c r="B7" s="18" t="inlineStr">
        <is>
          <t>Meskerem</t>
        </is>
      </c>
      <c r="C7" s="23" t="n">
        <v>4813</v>
      </c>
      <c r="D7" s="18" t="inlineStr">
        <is>
          <t>Bishoftu Dairy PLC</t>
        </is>
      </c>
      <c r="E7" s="18" t="inlineStr">
        <is>
          <t>On file</t>
        </is>
      </c>
      <c r="F7" s="18" t="inlineStr">
        <is>
          <t>Taxable</t>
        </is>
      </c>
      <c r="G7" s="14" t="n">
        <v>2900000</v>
      </c>
      <c r="H7" s="20">
        <f>IF(G7="","",IF(F7="Taxable",VAT_RATE,0))</f>
        <v/>
      </c>
      <c r="I7" s="21">
        <f>IF(G7="","",ROUND(G7*H7,0))</f>
        <v/>
      </c>
      <c r="J7" s="21">
        <f>IF(G7="","",G7+I7)</f>
        <v/>
      </c>
      <c r="K7" s="19" t="inlineStr">
        <is>
          <t>Yes</t>
        </is>
      </c>
      <c r="L7" s="19" t="inlineStr">
        <is>
          <t>Yes</t>
        </is>
      </c>
      <c r="M7" s="22">
        <f>IF(OR(F7="Zero-rated",NOT(ISNUMBER(C7))),"",IF(COUNT(C$3:C6)=0,"",IF(C7-MAX(C$3:C6)&lt;&gt;1,"Gap: check","")))</f>
        <v/>
      </c>
      <c r="N7" s="14" t="n">
        <v>87000</v>
      </c>
      <c r="O7" s="18" t="n"/>
      <c r="P7" s="22">
        <f>IF(OR(N7="",N7=0),"",IF(O7="","Missing: chase","Held"))</f>
        <v/>
      </c>
      <c r="Q7" s="18" t="inlineStr">
        <is>
          <t>Receipt missing: chase Bishoftu Dairy PLC</t>
        </is>
      </c>
    </row>
    <row r="8">
      <c r="A8" s="18" t="inlineStr">
        <is>
          <t>Meskerem 12, 2019 E.C.</t>
        </is>
      </c>
      <c r="B8" s="18" t="inlineStr">
        <is>
          <t>Meskerem</t>
        </is>
      </c>
      <c r="C8" s="23" t="n">
        <v>4814</v>
      </c>
      <c r="D8" s="18" t="inlineStr">
        <is>
          <t>Sidama Coffee Roasters PLC</t>
        </is>
      </c>
      <c r="E8" s="18" t="inlineStr">
        <is>
          <t>On file</t>
        </is>
      </c>
      <c r="F8" s="18" t="inlineStr">
        <is>
          <t>Taxable</t>
        </is>
      </c>
      <c r="G8" s="14" t="n">
        <v>2400000</v>
      </c>
      <c r="H8" s="20">
        <f>IF(G8="","",IF(F8="Taxable",VAT_RATE,0))</f>
        <v/>
      </c>
      <c r="I8" s="21">
        <f>IF(G8="","",ROUND(G8*H8,0))</f>
        <v/>
      </c>
      <c r="J8" s="21">
        <f>IF(G8="","",G8+I8)</f>
        <v/>
      </c>
      <c r="K8" s="19" t="inlineStr">
        <is>
          <t>Yes</t>
        </is>
      </c>
      <c r="L8" s="19" t="inlineStr">
        <is>
          <t>Yes</t>
        </is>
      </c>
      <c r="M8" s="22">
        <f>IF(OR(F8="Zero-rated",NOT(ISNUMBER(C8))),"",IF(COUNT(C$3:C7)=0,"",IF(C8-MAX(C$3:C7)&lt;&gt;1,"Gap: check","")))</f>
        <v/>
      </c>
      <c r="N8" s="14" t="n">
        <v>72000</v>
      </c>
      <c r="O8" s="18" t="inlineStr">
        <is>
          <t>WR-SC-0233</t>
        </is>
      </c>
      <c r="P8" s="22">
        <f>IF(OR(N8="",N8=0),"",IF(O8="","Missing: chase","Held"))</f>
        <v/>
      </c>
      <c r="Q8" s="18" t="n"/>
    </row>
    <row r="9">
      <c r="A9" s="18" t="inlineStr">
        <is>
          <t>Meskerem 17, 2019 E.C.</t>
        </is>
      </c>
      <c r="B9" s="18" t="inlineStr">
        <is>
          <t>Meskerem</t>
        </is>
      </c>
      <c r="C9" s="23" t="n">
        <v>4815</v>
      </c>
      <c r="D9" s="18" t="inlineStr">
        <is>
          <t>Merkato Wholesale Traders</t>
        </is>
      </c>
      <c r="E9" s="18" t="inlineStr">
        <is>
          <t>On file</t>
        </is>
      </c>
      <c r="F9" s="18" t="inlineStr">
        <is>
          <t>Taxable</t>
        </is>
      </c>
      <c r="G9" s="14" t="n">
        <v>1850000</v>
      </c>
      <c r="H9" s="20">
        <f>IF(G9="","",IF(F9="Taxable",VAT_RATE,0))</f>
        <v/>
      </c>
      <c r="I9" s="21">
        <f>IF(G9="","",ROUND(G9*H9,0))</f>
        <v/>
      </c>
      <c r="J9" s="21">
        <f>IF(G9="","",G9+I9)</f>
        <v/>
      </c>
      <c r="K9" s="19" t="inlineStr">
        <is>
          <t>Yes</t>
        </is>
      </c>
      <c r="L9" s="19" t="inlineStr">
        <is>
          <t>Yes</t>
        </is>
      </c>
      <c r="M9" s="22">
        <f>IF(OR(F9="Zero-rated",NOT(ISNUMBER(C9))),"",IF(COUNT(C$3:C8)=0,"",IF(C9-MAX(C$3:C8)&lt;&gt;1,"Gap: check","")))</f>
        <v/>
      </c>
      <c r="N9" s="14" t="n">
        <v>0</v>
      </c>
      <c r="O9" s="18" t="n"/>
      <c r="P9" s="22">
        <f>IF(OR(N9="",N9=0),"",IF(O9="","Missing: chase","Held"))</f>
        <v/>
      </c>
      <c r="Q9" s="18" t="inlineStr">
        <is>
          <t>Paid in Tikimt</t>
        </is>
      </c>
    </row>
    <row r="10">
      <c r="A10" s="18" t="inlineStr">
        <is>
          <t>Meskerem 22, 2019 E.C.</t>
        </is>
      </c>
      <c r="B10" s="18" t="inlineStr">
        <is>
          <t>Meskerem</t>
        </is>
      </c>
      <c r="C10" s="23" t="n">
        <v>4816</v>
      </c>
      <c r="D10" s="18" t="inlineStr">
        <is>
          <t>Kombolcha Foods PLC</t>
        </is>
      </c>
      <c r="E10" s="18" t="inlineStr">
        <is>
          <t>On file</t>
        </is>
      </c>
      <c r="F10" s="18" t="inlineStr">
        <is>
          <t>Taxable</t>
        </is>
      </c>
      <c r="G10" s="14" t="n">
        <v>2450000</v>
      </c>
      <c r="H10" s="20">
        <f>IF(G10="","",IF(F10="Taxable",VAT_RATE,0))</f>
        <v/>
      </c>
      <c r="I10" s="21">
        <f>IF(G10="","",ROUND(G10*H10,0))</f>
        <v/>
      </c>
      <c r="J10" s="21">
        <f>IF(G10="","",G10+I10)</f>
        <v/>
      </c>
      <c r="K10" s="19" t="inlineStr">
        <is>
          <t>Yes</t>
        </is>
      </c>
      <c r="L10" s="19" t="inlineStr">
        <is>
          <t>Yes</t>
        </is>
      </c>
      <c r="M10" s="22">
        <f>IF(OR(F10="Zero-rated",NOT(ISNUMBER(C10))),"",IF(COUNT(C$3:C9)=0,"",IF(C10-MAX(C$3:C9)&lt;&gt;1,"Gap: check","")))</f>
        <v/>
      </c>
      <c r="N10" s="14" t="n">
        <v>0</v>
      </c>
      <c r="O10" s="18" t="n"/>
      <c r="P10" s="22">
        <f>IF(OR(N10="",N10=0),"",IF(O10="","Missing: chase","Held"))</f>
        <v/>
      </c>
      <c r="Q10" s="18" t="inlineStr">
        <is>
          <t>Paid in Tikimt</t>
        </is>
      </c>
    </row>
    <row r="11" ht="33" customHeight="1">
      <c r="A11" s="18" t="inlineStr">
        <is>
          <t>Meskerem 26, 2019 E.C.</t>
        </is>
      </c>
      <c r="B11" s="18" t="inlineStr">
        <is>
          <t>Meskerem</t>
        </is>
      </c>
      <c r="C11" s="19" t="inlineStr">
        <is>
          <t>E-0041</t>
        </is>
      </c>
      <c r="D11" s="18" t="inlineStr">
        <is>
          <t>Red Sea Trading FZE (Djibouti)</t>
        </is>
      </c>
      <c r="E11" s="18" t="inlineStr">
        <is>
          <t>Foreign</t>
        </is>
      </c>
      <c r="F11" s="18" t="inlineStr">
        <is>
          <t>Zero-rated</t>
        </is>
      </c>
      <c r="G11" s="14" t="n">
        <v>800000</v>
      </c>
      <c r="H11" s="20">
        <f>IF(G11="","",IF(F11="Taxable",VAT_RATE,0))</f>
        <v/>
      </c>
      <c r="I11" s="21">
        <f>IF(G11="","",ROUND(G11*H11,0))</f>
        <v/>
      </c>
      <c r="J11" s="21">
        <f>IF(G11="","",G11+I11)</f>
        <v/>
      </c>
      <c r="K11" s="19" t="inlineStr">
        <is>
          <t>Yes</t>
        </is>
      </c>
      <c r="L11" s="19" t="inlineStr">
        <is>
          <t>Yes</t>
        </is>
      </c>
      <c r="M11" s="22">
        <f>IF(OR(F11="Zero-rated",NOT(ISNUMBER(C11))),"",IF(COUNT(C$3:C10)=0,"",IF(C11-MAX(C$3:C10)&lt;&gt;1,"Gap: check","")))</f>
        <v/>
      </c>
      <c r="N11" s="14" t="n">
        <v>0</v>
      </c>
      <c r="O11" s="18" t="n"/>
      <c r="P11" s="22">
        <f>IF(OR(N11="",N11=0),"",IF(O11="","Missing: chase","Held"))</f>
        <v/>
      </c>
      <c r="Q11" s="18" t="inlineStr">
        <is>
          <t>Export: customs export declaration and proof of payment on file</t>
        </is>
      </c>
    </row>
    <row r="12" ht="48" customHeight="1">
      <c r="A12" s="18" t="inlineStr">
        <is>
          <t>Meskerem 29, 2019 E.C.</t>
        </is>
      </c>
      <c r="B12" s="18" t="inlineStr">
        <is>
          <t>Meskerem</t>
        </is>
      </c>
      <c r="C12" s="23" t="n">
        <v>4817</v>
      </c>
      <c r="D12" s="18" t="inlineStr">
        <is>
          <t>Bishoftu Dairy PLC</t>
        </is>
      </c>
      <c r="E12" s="18" t="inlineStr">
        <is>
          <t>On file</t>
        </is>
      </c>
      <c r="F12" s="18" t="inlineStr">
        <is>
          <t>Taxable</t>
        </is>
      </c>
      <c r="G12" s="14" t="n">
        <v>300000</v>
      </c>
      <c r="H12" s="20">
        <f>IF(G12="","",IF(F12="Taxable",VAT_RATE,0))</f>
        <v/>
      </c>
      <c r="I12" s="21">
        <f>IF(G12="","",ROUND(G12*H12,0))</f>
        <v/>
      </c>
      <c r="J12" s="21">
        <f>IF(G12="","",G12+I12)</f>
        <v/>
      </c>
      <c r="K12" s="19" t="inlineStr">
        <is>
          <t>No</t>
        </is>
      </c>
      <c r="L12" s="19" t="inlineStr">
        <is>
          <t>Yes</t>
        </is>
      </c>
      <c r="M12" s="22">
        <f>IF(OR(F12="Zero-rated",NOT(ISNUMBER(C12))),"",IF(COUNT(C$3:C11)=0,"",IF(C12-MAX(C$3:C11)&lt;&gt;1,"Gap: check","")))</f>
        <v/>
      </c>
      <c r="N12" s="14" t="n">
        <v>0</v>
      </c>
      <c r="O12" s="18" t="n"/>
      <c r="P12" s="22">
        <f>IF(OR(N12="",N12=0),"",IF(O12="","Missing: chase","Held"))</f>
        <v/>
      </c>
      <c r="Q12" s="18" t="inlineStr">
        <is>
          <t>Not yet paid. Missing from the return working as first prepared; added before filing</t>
        </is>
      </c>
    </row>
    <row r="13">
      <c r="A13" s="18" t="n"/>
      <c r="B13" s="18" t="n"/>
      <c r="C13" s="19" t="n"/>
      <c r="D13" s="18" t="n"/>
      <c r="E13" s="18" t="n"/>
      <c r="F13" s="18" t="n"/>
      <c r="G13" s="14" t="n"/>
      <c r="H13" s="20">
        <f>IF(G13="","",IF(F13="Taxable",VAT_RATE,0))</f>
        <v/>
      </c>
      <c r="I13" s="21">
        <f>IF(G13="","",ROUND(G13*H13,0))</f>
        <v/>
      </c>
      <c r="J13" s="21">
        <f>IF(G13="","",G13+I13)</f>
        <v/>
      </c>
      <c r="K13" s="19" t="n"/>
      <c r="L13" s="19" t="n"/>
      <c r="M13" s="22">
        <f>IF(OR(F13="Zero-rated",NOT(ISNUMBER(C13))),"",IF(COUNT(C$3:C12)=0,"",IF(C13-MAX(C$3:C12)&lt;&gt;1,"Gap: check","")))</f>
        <v/>
      </c>
      <c r="N13" s="14" t="n"/>
      <c r="O13" s="18" t="n"/>
      <c r="P13" s="22">
        <f>IF(OR(N13="",N13=0),"",IF(O13="","Missing: chase","Held"))</f>
        <v/>
      </c>
      <c r="Q13" s="18" t="n"/>
    </row>
    <row r="14">
      <c r="A14" s="18" t="n"/>
      <c r="B14" s="18" t="n"/>
      <c r="C14" s="19" t="n"/>
      <c r="D14" s="18" t="n"/>
      <c r="E14" s="18" t="n"/>
      <c r="F14" s="18" t="n"/>
      <c r="G14" s="14" t="n"/>
      <c r="H14" s="20">
        <f>IF(G14="","",IF(F14="Taxable",VAT_RATE,0))</f>
        <v/>
      </c>
      <c r="I14" s="21">
        <f>IF(G14="","",ROUND(G14*H14,0))</f>
        <v/>
      </c>
      <c r="J14" s="21">
        <f>IF(G14="","",G14+I14)</f>
        <v/>
      </c>
      <c r="K14" s="19" t="n"/>
      <c r="L14" s="19" t="n"/>
      <c r="M14" s="22">
        <f>IF(OR(F14="Zero-rated",NOT(ISNUMBER(C14))),"",IF(COUNT(C$3:C13)=0,"",IF(C14-MAX(C$3:C13)&lt;&gt;1,"Gap: check","")))</f>
        <v/>
      </c>
      <c r="N14" s="14" t="n"/>
      <c r="O14" s="18" t="n"/>
      <c r="P14" s="22">
        <f>IF(OR(N14="",N14=0),"",IF(O14="","Missing: chase","Held"))</f>
        <v/>
      </c>
      <c r="Q14" s="18" t="n"/>
    </row>
    <row r="15">
      <c r="A15" s="18" t="n"/>
      <c r="B15" s="18" t="n"/>
      <c r="C15" s="19" t="n"/>
      <c r="D15" s="18" t="n"/>
      <c r="E15" s="18" t="n"/>
      <c r="F15" s="18" t="n"/>
      <c r="G15" s="14" t="n"/>
      <c r="H15" s="20">
        <f>IF(G15="","",IF(F15="Taxable",VAT_RATE,0))</f>
        <v/>
      </c>
      <c r="I15" s="21">
        <f>IF(G15="","",ROUND(G15*H15,0))</f>
        <v/>
      </c>
      <c r="J15" s="21">
        <f>IF(G15="","",G15+I15)</f>
        <v/>
      </c>
      <c r="K15" s="19" t="n"/>
      <c r="L15" s="19" t="n"/>
      <c r="M15" s="22">
        <f>IF(OR(F15="Zero-rated",NOT(ISNUMBER(C15))),"",IF(COUNT(C$3:C14)=0,"",IF(C15-MAX(C$3:C14)&lt;&gt;1,"Gap: check","")))</f>
        <v/>
      </c>
      <c r="N15" s="14" t="n"/>
      <c r="O15" s="18" t="n"/>
      <c r="P15" s="22">
        <f>IF(OR(N15="",N15=0),"",IF(O15="","Missing: chase","Held"))</f>
        <v/>
      </c>
      <c r="Q15" s="18" t="n"/>
    </row>
    <row r="16">
      <c r="A16" s="18" t="n"/>
      <c r="B16" s="18" t="n"/>
      <c r="C16" s="19" t="n"/>
      <c r="D16" s="18" t="n"/>
      <c r="E16" s="18" t="n"/>
      <c r="F16" s="18" t="n"/>
      <c r="G16" s="14" t="n"/>
      <c r="H16" s="20">
        <f>IF(G16="","",IF(F16="Taxable",VAT_RATE,0))</f>
        <v/>
      </c>
      <c r="I16" s="21">
        <f>IF(G16="","",ROUND(G16*H16,0))</f>
        <v/>
      </c>
      <c r="J16" s="21">
        <f>IF(G16="","",G16+I16)</f>
        <v/>
      </c>
      <c r="K16" s="19" t="n"/>
      <c r="L16" s="19" t="n"/>
      <c r="M16" s="22">
        <f>IF(OR(F16="Zero-rated",NOT(ISNUMBER(C16))),"",IF(COUNT(C$3:C15)=0,"",IF(C16-MAX(C$3:C15)&lt;&gt;1,"Gap: check","")))</f>
        <v/>
      </c>
      <c r="N16" s="14" t="n"/>
      <c r="O16" s="18" t="n"/>
      <c r="P16" s="22">
        <f>IF(OR(N16="",N16=0),"",IF(O16="","Missing: chase","Held"))</f>
        <v/>
      </c>
      <c r="Q16" s="18" t="n"/>
    </row>
    <row r="17">
      <c r="A17" s="18" t="n"/>
      <c r="B17" s="18" t="n"/>
      <c r="C17" s="19" t="n"/>
      <c r="D17" s="18" t="n"/>
      <c r="E17" s="18" t="n"/>
      <c r="F17" s="18" t="n"/>
      <c r="G17" s="14" t="n"/>
      <c r="H17" s="20">
        <f>IF(G17="","",IF(F17="Taxable",VAT_RATE,0))</f>
        <v/>
      </c>
      <c r="I17" s="21">
        <f>IF(G17="","",ROUND(G17*H17,0))</f>
        <v/>
      </c>
      <c r="J17" s="21">
        <f>IF(G17="","",G17+I17)</f>
        <v/>
      </c>
      <c r="K17" s="19" t="n"/>
      <c r="L17" s="19" t="n"/>
      <c r="M17" s="22">
        <f>IF(OR(F17="Zero-rated",NOT(ISNUMBER(C17))),"",IF(COUNT(C$3:C16)=0,"",IF(C17-MAX(C$3:C16)&lt;&gt;1,"Gap: check","")))</f>
        <v/>
      </c>
      <c r="N17" s="14" t="n"/>
      <c r="O17" s="18" t="n"/>
      <c r="P17" s="22">
        <f>IF(OR(N17="",N17=0),"",IF(O17="","Missing: chase","Held"))</f>
        <v/>
      </c>
      <c r="Q17" s="18" t="n"/>
    </row>
    <row r="18">
      <c r="A18" s="18" t="n"/>
      <c r="B18" s="18" t="n"/>
      <c r="C18" s="19" t="n"/>
      <c r="D18" s="18" t="n"/>
      <c r="E18" s="18" t="n"/>
      <c r="F18" s="18" t="n"/>
      <c r="G18" s="14" t="n"/>
      <c r="H18" s="20">
        <f>IF(G18="","",IF(F18="Taxable",VAT_RATE,0))</f>
        <v/>
      </c>
      <c r="I18" s="21">
        <f>IF(G18="","",ROUND(G18*H18,0))</f>
        <v/>
      </c>
      <c r="J18" s="21">
        <f>IF(G18="","",G18+I18)</f>
        <v/>
      </c>
      <c r="K18" s="19" t="n"/>
      <c r="L18" s="19" t="n"/>
      <c r="M18" s="22">
        <f>IF(OR(F18="Zero-rated",NOT(ISNUMBER(C18))),"",IF(COUNT(C$3:C17)=0,"",IF(C18-MAX(C$3:C17)&lt;&gt;1,"Gap: check","")))</f>
        <v/>
      </c>
      <c r="N18" s="14" t="n"/>
      <c r="O18" s="18" t="n"/>
      <c r="P18" s="22">
        <f>IF(OR(N18="",N18=0),"",IF(O18="","Missing: chase","Held"))</f>
        <v/>
      </c>
      <c r="Q18" s="18" t="n"/>
    </row>
    <row r="19">
      <c r="A19" s="18" t="n"/>
      <c r="B19" s="18" t="n"/>
      <c r="C19" s="19" t="n"/>
      <c r="D19" s="18" t="n"/>
      <c r="E19" s="18" t="n"/>
      <c r="F19" s="18" t="n"/>
      <c r="G19" s="14" t="n"/>
      <c r="H19" s="20">
        <f>IF(G19="","",IF(F19="Taxable",VAT_RATE,0))</f>
        <v/>
      </c>
      <c r="I19" s="21">
        <f>IF(G19="","",ROUND(G19*H19,0))</f>
        <v/>
      </c>
      <c r="J19" s="21">
        <f>IF(G19="","",G19+I19)</f>
        <v/>
      </c>
      <c r="K19" s="19" t="n"/>
      <c r="L19" s="19" t="n"/>
      <c r="M19" s="22">
        <f>IF(OR(F19="Zero-rated",NOT(ISNUMBER(C19))),"",IF(COUNT(C$3:C18)=0,"",IF(C19-MAX(C$3:C18)&lt;&gt;1,"Gap: check","")))</f>
        <v/>
      </c>
      <c r="N19" s="14" t="n"/>
      <c r="O19" s="18" t="n"/>
      <c r="P19" s="22">
        <f>IF(OR(N19="",N19=0),"",IF(O19="","Missing: chase","Held"))</f>
        <v/>
      </c>
      <c r="Q19" s="18" t="n"/>
    </row>
    <row r="20">
      <c r="A20" s="18" t="n"/>
      <c r="B20" s="18" t="n"/>
      <c r="C20" s="19" t="n"/>
      <c r="D20" s="18" t="n"/>
      <c r="E20" s="18" t="n"/>
      <c r="F20" s="18" t="n"/>
      <c r="G20" s="14" t="n"/>
      <c r="H20" s="20">
        <f>IF(G20="","",IF(F20="Taxable",VAT_RATE,0))</f>
        <v/>
      </c>
      <c r="I20" s="21">
        <f>IF(G20="","",ROUND(G20*H20,0))</f>
        <v/>
      </c>
      <c r="J20" s="21">
        <f>IF(G20="","",G20+I20)</f>
        <v/>
      </c>
      <c r="K20" s="19" t="n"/>
      <c r="L20" s="19" t="n"/>
      <c r="M20" s="22">
        <f>IF(OR(F20="Zero-rated",NOT(ISNUMBER(C20))),"",IF(COUNT(C$3:C19)=0,"",IF(C20-MAX(C$3:C19)&lt;&gt;1,"Gap: check","")))</f>
        <v/>
      </c>
      <c r="N20" s="14" t="n"/>
      <c r="O20" s="18" t="n"/>
      <c r="P20" s="22">
        <f>IF(OR(N20="",N20=0),"",IF(O20="","Missing: chase","Held"))</f>
        <v/>
      </c>
      <c r="Q20" s="18" t="n"/>
    </row>
    <row r="21">
      <c r="A21" s="18" t="n"/>
      <c r="B21" s="18" t="n"/>
      <c r="C21" s="19" t="n"/>
      <c r="D21" s="18" t="n"/>
      <c r="E21" s="18" t="n"/>
      <c r="F21" s="18" t="n"/>
      <c r="G21" s="14" t="n"/>
      <c r="H21" s="20">
        <f>IF(G21="","",IF(F21="Taxable",VAT_RATE,0))</f>
        <v/>
      </c>
      <c r="I21" s="21">
        <f>IF(G21="","",ROUND(G21*H21,0))</f>
        <v/>
      </c>
      <c r="J21" s="21">
        <f>IF(G21="","",G21+I21)</f>
        <v/>
      </c>
      <c r="K21" s="19" t="n"/>
      <c r="L21" s="19" t="n"/>
      <c r="M21" s="22">
        <f>IF(OR(F21="Zero-rated",NOT(ISNUMBER(C21))),"",IF(COUNT(C$3:C20)=0,"",IF(C21-MAX(C$3:C20)&lt;&gt;1,"Gap: check","")))</f>
        <v/>
      </c>
      <c r="N21" s="14" t="n"/>
      <c r="O21" s="18" t="n"/>
      <c r="P21" s="22">
        <f>IF(OR(N21="",N21=0),"",IF(O21="","Missing: chase","Held"))</f>
        <v/>
      </c>
      <c r="Q21" s="18" t="n"/>
    </row>
    <row r="22">
      <c r="A22" s="18" t="n"/>
      <c r="B22" s="18" t="n"/>
      <c r="C22" s="19" t="n"/>
      <c r="D22" s="18" t="n"/>
      <c r="E22" s="18" t="n"/>
      <c r="F22" s="18" t="n"/>
      <c r="G22" s="14" t="n"/>
      <c r="H22" s="20">
        <f>IF(G22="","",IF(F22="Taxable",VAT_RATE,0))</f>
        <v/>
      </c>
      <c r="I22" s="21">
        <f>IF(G22="","",ROUND(G22*H22,0))</f>
        <v/>
      </c>
      <c r="J22" s="21">
        <f>IF(G22="","",G22+I22)</f>
        <v/>
      </c>
      <c r="K22" s="19" t="n"/>
      <c r="L22" s="19" t="n"/>
      <c r="M22" s="22">
        <f>IF(OR(F22="Zero-rated",NOT(ISNUMBER(C22))),"",IF(COUNT(C$3:C21)=0,"",IF(C22-MAX(C$3:C21)&lt;&gt;1,"Gap: check","")))</f>
        <v/>
      </c>
      <c r="N22" s="14" t="n"/>
      <c r="O22" s="18" t="n"/>
      <c r="P22" s="22">
        <f>IF(OR(N22="",N22=0),"",IF(O22="","Missing: chase","Held"))</f>
        <v/>
      </c>
      <c r="Q22" s="18" t="n"/>
    </row>
    <row r="23">
      <c r="A23" s="18" t="n"/>
      <c r="B23" s="18" t="n"/>
      <c r="C23" s="19" t="n"/>
      <c r="D23" s="18" t="n"/>
      <c r="E23" s="18" t="n"/>
      <c r="F23" s="18" t="n"/>
      <c r="G23" s="14" t="n"/>
      <c r="H23" s="20">
        <f>IF(G23="","",IF(F23="Taxable",VAT_RATE,0))</f>
        <v/>
      </c>
      <c r="I23" s="21">
        <f>IF(G23="","",ROUND(G23*H23,0))</f>
        <v/>
      </c>
      <c r="J23" s="21">
        <f>IF(G23="","",G23+I23)</f>
        <v/>
      </c>
      <c r="K23" s="19" t="n"/>
      <c r="L23" s="19" t="n"/>
      <c r="M23" s="22">
        <f>IF(OR(F23="Zero-rated",NOT(ISNUMBER(C23))),"",IF(COUNT(C$3:C22)=0,"",IF(C23-MAX(C$3:C22)&lt;&gt;1,"Gap: check","")))</f>
        <v/>
      </c>
      <c r="N23" s="14" t="n"/>
      <c r="O23" s="18" t="n"/>
      <c r="P23" s="22">
        <f>IF(OR(N23="",N23=0),"",IF(O23="","Missing: chase","Held"))</f>
        <v/>
      </c>
      <c r="Q23" s="18" t="n"/>
    </row>
    <row r="24">
      <c r="A24" s="18" t="n"/>
      <c r="B24" s="18" t="n"/>
      <c r="C24" s="19" t="n"/>
      <c r="D24" s="18" t="n"/>
      <c r="E24" s="18" t="n"/>
      <c r="F24" s="18" t="n"/>
      <c r="G24" s="14" t="n"/>
      <c r="H24" s="20">
        <f>IF(G24="","",IF(F24="Taxable",VAT_RATE,0))</f>
        <v/>
      </c>
      <c r="I24" s="21">
        <f>IF(G24="","",ROUND(G24*H24,0))</f>
        <v/>
      </c>
      <c r="J24" s="21">
        <f>IF(G24="","",G24+I24)</f>
        <v/>
      </c>
      <c r="K24" s="19" t="n"/>
      <c r="L24" s="19" t="n"/>
      <c r="M24" s="22">
        <f>IF(OR(F24="Zero-rated",NOT(ISNUMBER(C24))),"",IF(COUNT(C$3:C23)=0,"",IF(C24-MAX(C$3:C23)&lt;&gt;1,"Gap: check","")))</f>
        <v/>
      </c>
      <c r="N24" s="14" t="n"/>
      <c r="O24" s="18" t="n"/>
      <c r="P24" s="22">
        <f>IF(OR(N24="",N24=0),"",IF(O24="","Missing: chase","Held"))</f>
        <v/>
      </c>
      <c r="Q24" s="18" t="n"/>
    </row>
    <row r="25">
      <c r="A25" s="18" t="n"/>
      <c r="B25" s="18" t="n"/>
      <c r="C25" s="19" t="n"/>
      <c r="D25" s="18" t="n"/>
      <c r="E25" s="18" t="n"/>
      <c r="F25" s="18" t="n"/>
      <c r="G25" s="14" t="n"/>
      <c r="H25" s="20">
        <f>IF(G25="","",IF(F25="Taxable",VAT_RATE,0))</f>
        <v/>
      </c>
      <c r="I25" s="21">
        <f>IF(G25="","",ROUND(G25*H25,0))</f>
        <v/>
      </c>
      <c r="J25" s="21">
        <f>IF(G25="","",G25+I25)</f>
        <v/>
      </c>
      <c r="K25" s="19" t="n"/>
      <c r="L25" s="19" t="n"/>
      <c r="M25" s="22">
        <f>IF(OR(F25="Zero-rated",NOT(ISNUMBER(C25))),"",IF(COUNT(C$3:C24)=0,"",IF(C25-MAX(C$3:C24)&lt;&gt;1,"Gap: check","")))</f>
        <v/>
      </c>
      <c r="N25" s="14" t="n"/>
      <c r="O25" s="18" t="n"/>
      <c r="P25" s="22">
        <f>IF(OR(N25="",N25=0),"",IF(O25="","Missing: chase","Held"))</f>
        <v/>
      </c>
      <c r="Q25" s="18" t="n"/>
    </row>
    <row r="26">
      <c r="A26" s="18" t="n"/>
      <c r="B26" s="18" t="n"/>
      <c r="C26" s="19" t="n"/>
      <c r="D26" s="18" t="n"/>
      <c r="E26" s="18" t="n"/>
      <c r="F26" s="18" t="n"/>
      <c r="G26" s="14" t="n"/>
      <c r="H26" s="20">
        <f>IF(G26="","",IF(F26="Taxable",VAT_RATE,0))</f>
        <v/>
      </c>
      <c r="I26" s="21">
        <f>IF(G26="","",ROUND(G26*H26,0))</f>
        <v/>
      </c>
      <c r="J26" s="21">
        <f>IF(G26="","",G26+I26)</f>
        <v/>
      </c>
      <c r="K26" s="19" t="n"/>
      <c r="L26" s="19" t="n"/>
      <c r="M26" s="22">
        <f>IF(OR(F26="Zero-rated",NOT(ISNUMBER(C26))),"",IF(COUNT(C$3:C25)=0,"",IF(C26-MAX(C$3:C25)&lt;&gt;1,"Gap: check","")))</f>
        <v/>
      </c>
      <c r="N26" s="14" t="n"/>
      <c r="O26" s="18" t="n"/>
      <c r="P26" s="22">
        <f>IF(OR(N26="",N26=0),"",IF(O26="","Missing: chase","Held"))</f>
        <v/>
      </c>
      <c r="Q26" s="18" t="n"/>
    </row>
    <row r="27">
      <c r="A27" s="18" t="n"/>
      <c r="B27" s="18" t="n"/>
      <c r="C27" s="19" t="n"/>
      <c r="D27" s="18" t="n"/>
      <c r="E27" s="18" t="n"/>
      <c r="F27" s="18" t="n"/>
      <c r="G27" s="14" t="n"/>
      <c r="H27" s="20">
        <f>IF(G27="","",IF(F27="Taxable",VAT_RATE,0))</f>
        <v/>
      </c>
      <c r="I27" s="21">
        <f>IF(G27="","",ROUND(G27*H27,0))</f>
        <v/>
      </c>
      <c r="J27" s="21">
        <f>IF(G27="","",G27+I27)</f>
        <v/>
      </c>
      <c r="K27" s="19" t="n"/>
      <c r="L27" s="19" t="n"/>
      <c r="M27" s="22">
        <f>IF(OR(F27="Zero-rated",NOT(ISNUMBER(C27))),"",IF(COUNT(C$3:C26)=0,"",IF(C27-MAX(C$3:C26)&lt;&gt;1,"Gap: check","")))</f>
        <v/>
      </c>
      <c r="N27" s="14" t="n"/>
      <c r="O27" s="18" t="n"/>
      <c r="P27" s="22">
        <f>IF(OR(N27="",N27=0),"",IF(O27="","Missing: chase","Held"))</f>
        <v/>
      </c>
      <c r="Q27" s="18" t="n"/>
    </row>
    <row r="28">
      <c r="A28" s="18" t="n"/>
      <c r="B28" s="18" t="n"/>
      <c r="C28" s="19" t="n"/>
      <c r="D28" s="18" t="n"/>
      <c r="E28" s="18" t="n"/>
      <c r="F28" s="18" t="n"/>
      <c r="G28" s="14" t="n"/>
      <c r="H28" s="20">
        <f>IF(G28="","",IF(F28="Taxable",VAT_RATE,0))</f>
        <v/>
      </c>
      <c r="I28" s="21">
        <f>IF(G28="","",ROUND(G28*H28,0))</f>
        <v/>
      </c>
      <c r="J28" s="21">
        <f>IF(G28="","",G28+I28)</f>
        <v/>
      </c>
      <c r="K28" s="19" t="n"/>
      <c r="L28" s="19" t="n"/>
      <c r="M28" s="22">
        <f>IF(OR(F28="Zero-rated",NOT(ISNUMBER(C28))),"",IF(COUNT(C$3:C27)=0,"",IF(C28-MAX(C$3:C27)&lt;&gt;1,"Gap: check","")))</f>
        <v/>
      </c>
      <c r="N28" s="14" t="n"/>
      <c r="O28" s="18" t="n"/>
      <c r="P28" s="22">
        <f>IF(OR(N28="",N28=0),"",IF(O28="","Missing: chase","Held"))</f>
        <v/>
      </c>
      <c r="Q28" s="18" t="n"/>
    </row>
    <row r="29">
      <c r="A29" s="18" t="n"/>
      <c r="B29" s="18" t="n"/>
      <c r="C29" s="19" t="n"/>
      <c r="D29" s="18" t="n"/>
      <c r="E29" s="18" t="n"/>
      <c r="F29" s="18" t="n"/>
      <c r="G29" s="14" t="n"/>
      <c r="H29" s="20">
        <f>IF(G29="","",IF(F29="Taxable",VAT_RATE,0))</f>
        <v/>
      </c>
      <c r="I29" s="21">
        <f>IF(G29="","",ROUND(G29*H29,0))</f>
        <v/>
      </c>
      <c r="J29" s="21">
        <f>IF(G29="","",G29+I29)</f>
        <v/>
      </c>
      <c r="K29" s="19" t="n"/>
      <c r="L29" s="19" t="n"/>
      <c r="M29" s="22">
        <f>IF(OR(F29="Zero-rated",NOT(ISNUMBER(C29))),"",IF(COUNT(C$3:C28)=0,"",IF(C29-MAX(C$3:C28)&lt;&gt;1,"Gap: check","")))</f>
        <v/>
      </c>
      <c r="N29" s="14" t="n"/>
      <c r="O29" s="18" t="n"/>
      <c r="P29" s="22">
        <f>IF(OR(N29="",N29=0),"",IF(O29="","Missing: chase","Held"))</f>
        <v/>
      </c>
      <c r="Q29" s="18" t="n"/>
    </row>
    <row r="30">
      <c r="A30" s="18" t="n"/>
      <c r="B30" s="18" t="n"/>
      <c r="C30" s="19" t="n"/>
      <c r="D30" s="18" t="n"/>
      <c r="E30" s="18" t="n"/>
      <c r="F30" s="18" t="n"/>
      <c r="G30" s="14" t="n"/>
      <c r="H30" s="20">
        <f>IF(G30="","",IF(F30="Taxable",VAT_RATE,0))</f>
        <v/>
      </c>
      <c r="I30" s="21">
        <f>IF(G30="","",ROUND(G30*H30,0))</f>
        <v/>
      </c>
      <c r="J30" s="21">
        <f>IF(G30="","",G30+I30)</f>
        <v/>
      </c>
      <c r="K30" s="19" t="n"/>
      <c r="L30" s="19" t="n"/>
      <c r="M30" s="22">
        <f>IF(OR(F30="Zero-rated",NOT(ISNUMBER(C30))),"",IF(COUNT(C$3:C29)=0,"",IF(C30-MAX(C$3:C29)&lt;&gt;1,"Gap: check","")))</f>
        <v/>
      </c>
      <c r="N30" s="14" t="n"/>
      <c r="O30" s="18" t="n"/>
      <c r="P30" s="22">
        <f>IF(OR(N30="",N30=0),"",IF(O30="","Missing: chase","Held"))</f>
        <v/>
      </c>
      <c r="Q30" s="18" t="n"/>
    </row>
    <row r="31"/>
    <row r="32">
      <c r="A32" s="5" t="inlineStr">
        <is>
          <t>Totals</t>
        </is>
      </c>
    </row>
    <row r="33">
      <c r="A33" s="8" t="inlineStr">
        <is>
          <t>Meskerem taxable sales, all invoices</t>
        </is>
      </c>
      <c r="B33" s="7" t="n"/>
      <c r="C33" s="7" t="n"/>
      <c r="D33" s="7" t="n"/>
      <c r="E33" s="7" t="n"/>
      <c r="F33" s="7" t="n"/>
      <c r="G33" s="24">
        <f>SUMIFS('Sales Register'!$G$4:$G$30,'Sales Register'!$B$4:$B$30,"Meskerem",'Sales Register'!$F$4:$F$30,"Taxable")</f>
        <v/>
      </c>
    </row>
    <row r="34">
      <c r="A34" s="8" t="inlineStr">
        <is>
          <t>Meskerem taxable sales as first prepared</t>
        </is>
      </c>
      <c r="B34" s="7" t="n"/>
      <c r="C34" s="7" t="n"/>
      <c r="D34" s="7" t="n"/>
      <c r="E34" s="7" t="n"/>
      <c r="F34" s="7" t="n"/>
      <c r="G34" s="24">
        <f>SUMIFS('Sales Register'!$G$4:$G$30,'Sales Register'!$B$4:$B$30,"Meskerem",'Sales Register'!$F$4:$F$30,"Taxable",'Sales Register'!$K$4:$K$30,"Yes")</f>
        <v/>
      </c>
    </row>
    <row r="35">
      <c r="A35" s="8" t="inlineStr">
        <is>
          <t>Meskerem zero-rated sales</t>
        </is>
      </c>
      <c r="B35" s="7" t="n"/>
      <c r="C35" s="7" t="n"/>
      <c r="D35" s="7" t="n"/>
      <c r="E35" s="7" t="n"/>
      <c r="F35" s="7" t="n"/>
      <c r="G35" s="24">
        <f>SUMIFS('Sales Register'!$G$4:$G$30,'Sales Register'!$B$4:$B$30,"Meskerem",'Sales Register'!$F$4:$F$30,"Zero-rated")</f>
        <v/>
      </c>
    </row>
    <row r="36">
      <c r="A36" s="8" t="inlineStr">
        <is>
          <t>Quarter taxable sales, all invoices</t>
        </is>
      </c>
      <c r="B36" s="7" t="n"/>
      <c r="C36" s="7" t="n"/>
      <c r="D36" s="7" t="n"/>
      <c r="E36" s="7" t="n"/>
      <c r="F36" s="7" t="n"/>
      <c r="G36" s="24">
        <f>SUMIFS('Sales Register'!$G$4:$G$30,'Sales Register'!$F$4:$F$30,"Taxable")</f>
        <v/>
      </c>
    </row>
    <row r="37">
      <c r="A37" s="8" t="inlineStr">
        <is>
          <t>Quarter output VAT, all invoices</t>
        </is>
      </c>
      <c r="B37" s="7" t="n"/>
      <c r="C37" s="7" t="n"/>
      <c r="D37" s="7" t="n"/>
      <c r="E37" s="7" t="n"/>
      <c r="F37" s="7" t="n"/>
      <c r="G37" s="24">
        <f>SUMIFS('Sales Register'!$I$4:$I$30,'Sales Register'!$F$4:$F$30,"Taxable")</f>
        <v/>
      </c>
    </row>
    <row r="38">
      <c r="A38" s="8" t="inlineStr">
        <is>
          <t>Quarter taxable sales as first prepared</t>
        </is>
      </c>
      <c r="B38" s="7" t="n"/>
      <c r="C38" s="7" t="n"/>
      <c r="D38" s="7" t="n"/>
      <c r="E38" s="7" t="n"/>
      <c r="F38" s="7" t="n"/>
      <c r="G38" s="24">
        <f>SUMIFS('Sales Register'!$G$4:$G$30,'Sales Register'!$F$4:$F$30,"Taxable",'Sales Register'!$K$4:$K$30,"Yes")</f>
        <v/>
      </c>
    </row>
    <row r="39">
      <c r="A39" s="8" t="inlineStr">
        <is>
          <t>Quarter output VAT as first prepared</t>
        </is>
      </c>
      <c r="B39" s="7" t="n"/>
      <c r="C39" s="7" t="n"/>
      <c r="D39" s="7" t="n"/>
      <c r="E39" s="7" t="n"/>
      <c r="F39" s="7" t="n"/>
      <c r="G39" s="24">
        <f>SUMIFS('Sales Register'!$I$4:$I$30,'Sales Register'!$F$4:$F$30,"Taxable",'Sales Register'!$K$4:$K$30,"Yes")</f>
        <v/>
      </c>
    </row>
    <row r="40">
      <c r="A40" s="8" t="inlineStr">
        <is>
          <t>Quarter zero-rated sales</t>
        </is>
      </c>
      <c r="B40" s="7" t="n"/>
      <c r="C40" s="7" t="n"/>
      <c r="D40" s="7" t="n"/>
      <c r="E40" s="7" t="n"/>
      <c r="F40" s="7" t="n"/>
      <c r="G40" s="24">
        <f>SUMIFS('Sales Register'!$G$4:$G$30,'Sales Register'!$F$4:$F$30,"Zero-rated")</f>
        <v/>
      </c>
    </row>
    <row r="41">
      <c r="A41" s="8" t="inlineStr">
        <is>
          <t>Withholding receivable from customers, Meskerem</t>
        </is>
      </c>
      <c r="B41" s="7" t="n"/>
      <c r="C41" s="7" t="n"/>
      <c r="D41" s="7" t="n"/>
      <c r="E41" s="7" t="n"/>
      <c r="F41" s="7" t="n"/>
      <c r="G41" s="24">
        <f>SUMIFS('Sales Register'!$N$4:$N$30,'Sales Register'!$B$4:$B$30,"Meskerem")</f>
        <v/>
      </c>
    </row>
    <row r="42">
      <c r="A42" s="8" t="inlineStr">
        <is>
          <t>Customer receipts held, Meskerem</t>
        </is>
      </c>
      <c r="B42" s="7" t="n"/>
      <c r="C42" s="7" t="n"/>
      <c r="D42" s="7" t="n"/>
      <c r="E42" s="7" t="n"/>
      <c r="F42" s="7" t="n"/>
      <c r="G42" s="24">
        <f>SUMIFS('Sales Register'!$N$4:$N$30,'Sales Register'!$B$4:$B$30,"Meskerem",'Sales Register'!$P$4:$P$30,"Held")</f>
        <v/>
      </c>
    </row>
    <row r="43">
      <c r="A43" s="8" t="inlineStr">
        <is>
          <t>Customer receipts missing, Meskerem</t>
        </is>
      </c>
      <c r="B43" s="7" t="n"/>
      <c r="C43" s="7" t="n"/>
      <c r="D43" s="7" t="n"/>
      <c r="E43" s="7" t="n"/>
      <c r="F43" s="7" t="n"/>
      <c r="G43" s="24">
        <f>SUMIFS('Sales Register'!$N$4:$N$30,'Sales Register'!$B$4:$B$30,"Meskerem",'Sales Register'!$P$4:$P$30,"Missing: chase")</f>
        <v/>
      </c>
    </row>
  </sheetData>
  <mergeCells count="12">
    <mergeCell ref="A38:F38"/>
    <mergeCell ref="A33:F33"/>
    <mergeCell ref="A41:F41"/>
    <mergeCell ref="A42:F42"/>
    <mergeCell ref="A36:F36"/>
    <mergeCell ref="A37:F37"/>
    <mergeCell ref="A34:F34"/>
    <mergeCell ref="A35:F35"/>
    <mergeCell ref="A40:F40"/>
    <mergeCell ref="A39:F39"/>
    <mergeCell ref="A1:Q1"/>
    <mergeCell ref="A43:F43"/>
  </mergeCells>
  <conditionalFormatting sqref="M4:M30">
    <cfRule type="cellIs" priority="1" operator="equal" dxfId="0">
      <formula>"Gap: check"</formula>
    </cfRule>
  </conditionalFormatting>
  <conditionalFormatting sqref="K4:K30">
    <cfRule type="cellIs" priority="2" operator="equal" dxfId="1">
      <formula>"No"</formula>
    </cfRule>
  </conditionalFormatting>
  <conditionalFormatting sqref="P4:P30">
    <cfRule type="cellIs" priority="3" operator="equal" dxfId="1">
      <formula>"Missing: chase"</formula>
    </cfRule>
  </conditionalFormatting>
  <dataValidations count="3">
    <dataValidation sqref="B4:B30" showDropDown="0" showInputMessage="0" showErrorMessage="0" allowBlank="1" errorTitle="Invalid entry" error="Choose a value from the list." type="list">
      <formula1>"Hamle,Nehase and Pagume,Meskerem,Tikimt,Hidar,Tahsas,Tir,Yekatit,Megabit,Miyazia,Ginbot,Sene"</formula1>
    </dataValidation>
    <dataValidation sqref="F4:F30" showDropDown="0" showInputMessage="0" showErrorMessage="0" allowBlank="1" errorTitle="Invalid entry" error="Choose a value from the list." type="list">
      <formula1>"Taxable,Zero-rated,Exempt,Void"</formula1>
    </dataValidation>
    <dataValidation sqref="K4:L30"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T38"/>
  <sheetViews>
    <sheetView showGridLines="0" workbookViewId="0">
      <pane xSplit="4" ySplit="3" topLeftCell="E4" activePane="bottomRight" state="frozen"/>
      <selection pane="topRight"/>
      <selection pane="bottomLeft"/>
      <selection pane="bottomRight" activeCell="A1" sqref="A1"/>
    </sheetView>
  </sheetViews>
  <sheetFormatPr baseColWidth="8" defaultRowHeight="15"/>
  <cols>
    <col width="19" customWidth="1" min="1" max="1"/>
    <col width="12" customWidth="1" min="2" max="2"/>
    <col width="13" customWidth="1" min="3" max="3"/>
    <col width="26" customWidth="1" min="4" max="4"/>
    <col width="9" customWidth="1" min="5" max="5"/>
    <col width="11" customWidth="1" min="6" max="6"/>
    <col width="24" customWidth="1" min="7" max="7"/>
    <col width="10" customWidth="1" min="8" max="8"/>
    <col width="13" customWidth="1" min="9" max="9"/>
    <col width="12" customWidth="1" min="10" max="10"/>
    <col width="12" customWidth="1" min="11" max="11"/>
    <col width="11" customWidth="1" min="12" max="12"/>
    <col width="16" customWidth="1" min="13" max="13"/>
    <col width="12" customWidth="1" min="14" max="14"/>
    <col width="12" customWidth="1" min="15" max="15"/>
    <col width="12" customWidth="1" min="16" max="16"/>
    <col width="14" customWidth="1" min="17" max="17"/>
    <col width="16" customWidth="1" min="18" max="18"/>
    <col width="15" customWidth="1" min="19" max="19"/>
    <col width="10" customWidth="1" min="20" max="20"/>
  </cols>
  <sheetData>
    <row r="1" ht="30" customHeight="1">
      <c r="A1" s="12" t="inlineStr">
        <is>
          <t>Purchase Register: every purchase invoice and customs declaration of the quarter. The VAT splits into creditable, non-creditable (expensed) and pending; cash payments above the limit are flagged.</t>
        </is>
      </c>
      <c r="B1" s="2" t="n"/>
      <c r="C1" s="2" t="n"/>
      <c r="D1" s="2" t="n"/>
      <c r="E1" s="2" t="n"/>
      <c r="F1" s="2" t="n"/>
      <c r="G1" s="2" t="n"/>
      <c r="H1" s="2" t="n"/>
      <c r="I1" s="2" t="n"/>
      <c r="J1" s="2" t="n"/>
      <c r="K1" s="2" t="n"/>
      <c r="L1" s="2" t="n"/>
      <c r="M1" s="2" t="n"/>
      <c r="N1" s="2" t="n"/>
      <c r="O1" s="2" t="n"/>
      <c r="P1" s="2" t="n"/>
      <c r="Q1" s="2" t="n"/>
      <c r="R1" s="2" t="n"/>
      <c r="S1" s="2" t="n"/>
      <c r="T1" s="2" t="n"/>
    </row>
    <row r="2"/>
    <row r="3" ht="76" customHeight="1">
      <c r="A3" s="6" t="inlineStr">
        <is>
          <t>Date</t>
        </is>
      </c>
      <c r="B3" s="6" t="inlineStr">
        <is>
          <t>Period</t>
        </is>
      </c>
      <c r="C3" s="6" t="inlineStr">
        <is>
          <t>Supplier invoice or customs declaration no.</t>
        </is>
      </c>
      <c r="D3" s="6" t="inlineStr">
        <is>
          <t>Supplier</t>
        </is>
      </c>
      <c r="E3" s="6" t="inlineStr">
        <is>
          <t>Supplier TIN</t>
        </is>
      </c>
      <c r="F3" s="6" t="inlineStr">
        <is>
          <t>Supplier VAT-registered</t>
        </is>
      </c>
      <c r="G3" s="6" t="inlineStr">
        <is>
          <t>Description</t>
        </is>
      </c>
      <c r="H3" s="6" t="inlineStr">
        <is>
          <t>Category</t>
        </is>
      </c>
      <c r="I3" s="6" t="inlineStr">
        <is>
          <t>Amount before VAT (ETB)</t>
        </is>
      </c>
      <c r="J3" s="6" t="inlineStr">
        <is>
          <t>VAT on invoice or declaration (ETB)</t>
        </is>
      </c>
      <c r="K3" s="6" t="inlineStr">
        <is>
          <t>Valid tax invoice or declaration held</t>
        </is>
      </c>
      <c r="L3" s="6" t="inlineStr">
        <is>
          <t>Creditable by nature</t>
        </is>
      </c>
      <c r="M3" s="6" t="inlineStr">
        <is>
          <t>Reason if not creditable</t>
        </is>
      </c>
      <c r="N3" s="6" t="inlineStr">
        <is>
          <t>Creditable VAT this period (ETB)</t>
        </is>
      </c>
      <c r="O3" s="6" t="inlineStr">
        <is>
          <t>Non-creditable VAT, expense (ETB)</t>
        </is>
      </c>
      <c r="P3" s="6" t="inlineStr">
        <is>
          <t>Pending VAT, invoice awaited (ETB)</t>
        </is>
      </c>
      <c r="Q3" s="6" t="inlineStr">
        <is>
          <t>Month the credit arose</t>
        </is>
      </c>
      <c r="R3" s="6" t="inlineStr">
        <is>
          <t>Claim by (12 months)</t>
        </is>
      </c>
      <c r="S3" s="6" t="inlineStr">
        <is>
          <t>Cash payment above limit?</t>
        </is>
      </c>
      <c r="T3" s="6" t="inlineStr">
        <is>
          <t>Payment method</t>
        </is>
      </c>
    </row>
    <row r="4" ht="33" customHeight="1">
      <c r="A4" s="18" t="inlineStr">
        <is>
          <t>Monthly total brought in</t>
        </is>
      </c>
      <c r="B4" s="18" t="inlineStr">
        <is>
          <t>Hamle</t>
        </is>
      </c>
      <c r="C4" s="18" t="n"/>
      <c r="D4" s="18" t="inlineStr">
        <is>
          <t>Creditable input VAT total for Hamle</t>
        </is>
      </c>
      <c r="E4" s="18" t="n"/>
      <c r="F4" s="19" t="inlineStr">
        <is>
          <t>Yes</t>
        </is>
      </c>
      <c r="G4" s="18" t="n"/>
      <c r="H4" s="18" t="n"/>
      <c r="I4" s="14" t="n"/>
      <c r="J4" s="14" t="n">
        <v>1600000</v>
      </c>
      <c r="K4" s="19" t="inlineStr">
        <is>
          <t>Yes</t>
        </is>
      </c>
      <c r="L4" s="19" t="inlineStr">
        <is>
          <t>Yes</t>
        </is>
      </c>
      <c r="M4" s="18" t="n"/>
      <c r="N4" s="21">
        <f>IF(J4="","",IF(AND(K4="Yes",L4="Yes",F4="Yes"),J4,0))</f>
        <v/>
      </c>
      <c r="O4" s="21">
        <f>IF(J4="","",IF(L4="No",J4,0))</f>
        <v/>
      </c>
      <c r="P4" s="21">
        <f>IF(J4="","",IF(AND(K4="No",L4="Yes"),J4,0))</f>
        <v/>
      </c>
      <c r="Q4" s="18" t="n"/>
      <c r="R4" s="18" t="n"/>
      <c r="S4" s="22">
        <f>IF(AND(T4="Cash",N(I4)+N(J4)&gt;CASH_LIMIT),"Not deductible: pay by bank","")</f>
        <v/>
      </c>
      <c r="T4" s="19" t="inlineStr">
        <is>
          <t>Bank</t>
        </is>
      </c>
    </row>
    <row r="5" ht="33" customHeight="1">
      <c r="A5" s="18" t="inlineStr">
        <is>
          <t>Monthly total brought in</t>
        </is>
      </c>
      <c r="B5" s="18" t="inlineStr">
        <is>
          <t>Nehase and Pagume</t>
        </is>
      </c>
      <c r="C5" s="18" t="n"/>
      <c r="D5" s="18" t="inlineStr">
        <is>
          <t>Creditable input VAT total for Nehase and Pagume</t>
        </is>
      </c>
      <c r="E5" s="18" t="n"/>
      <c r="F5" s="19" t="inlineStr">
        <is>
          <t>Yes</t>
        </is>
      </c>
      <c r="G5" s="18" t="n"/>
      <c r="H5" s="18" t="n"/>
      <c r="I5" s="14" t="n"/>
      <c r="J5" s="14" t="n">
        <v>1550000</v>
      </c>
      <c r="K5" s="19" t="inlineStr">
        <is>
          <t>Yes</t>
        </is>
      </c>
      <c r="L5" s="19" t="inlineStr">
        <is>
          <t>Yes</t>
        </is>
      </c>
      <c r="M5" s="18" t="n"/>
      <c r="N5" s="21">
        <f>IF(J5="","",IF(AND(K5="Yes",L5="Yes",F5="Yes"),J5,0))</f>
        <v/>
      </c>
      <c r="O5" s="21">
        <f>IF(J5="","",IF(L5="No",J5,0))</f>
        <v/>
      </c>
      <c r="P5" s="21">
        <f>IF(J5="","",IF(AND(K5="No",L5="Yes"),J5,0))</f>
        <v/>
      </c>
      <c r="Q5" s="18" t="n"/>
      <c r="R5" s="18" t="n"/>
      <c r="S5" s="22">
        <f>IF(AND(T5="Cash",N(I5)+N(J5)&gt;CASH_LIMIT),"Not deductible: pay by bank","")</f>
        <v/>
      </c>
      <c r="T5" s="19" t="inlineStr">
        <is>
          <t>Bank</t>
        </is>
      </c>
    </row>
    <row r="6">
      <c r="A6" s="18" t="inlineStr">
        <is>
          <t>Meskerem 4, 2019 E.C.</t>
        </is>
      </c>
      <c r="B6" s="18" t="inlineStr">
        <is>
          <t>Meskerem</t>
        </is>
      </c>
      <c r="C6" s="18" t="inlineStr">
        <is>
          <t>DK-7731</t>
        </is>
      </c>
      <c r="D6" s="18" t="inlineStr">
        <is>
          <t>Dire Kraft Traders PLC</t>
        </is>
      </c>
      <c r="E6" s="18" t="inlineStr">
        <is>
          <t>On file</t>
        </is>
      </c>
      <c r="F6" s="19" t="inlineStr">
        <is>
          <t>Yes</t>
        </is>
      </c>
      <c r="G6" s="18" t="inlineStr">
        <is>
          <t>Kraft paper</t>
        </is>
      </c>
      <c r="H6" s="18" t="inlineStr">
        <is>
          <t>Goods</t>
        </is>
      </c>
      <c r="I6" s="14" t="n">
        <v>6400000</v>
      </c>
      <c r="J6" s="14" t="n">
        <v>960000</v>
      </c>
      <c r="K6" s="19" t="inlineStr">
        <is>
          <t>Yes</t>
        </is>
      </c>
      <c r="L6" s="19" t="inlineStr">
        <is>
          <t>Yes</t>
        </is>
      </c>
      <c r="M6" s="18" t="n"/>
      <c r="N6" s="21">
        <f>IF(J6="","",IF(AND(K6="Yes",L6="Yes",F6="Yes"),J6,0))</f>
        <v/>
      </c>
      <c r="O6" s="21">
        <f>IF(J6="","",IF(L6="No",J6,0))</f>
        <v/>
      </c>
      <c r="P6" s="21">
        <f>IF(J6="","",IF(AND(K6="No",L6="Yes"),J6,0))</f>
        <v/>
      </c>
      <c r="Q6" s="18" t="n"/>
      <c r="R6" s="18" t="n"/>
      <c r="S6" s="22">
        <f>IF(AND(T6="Cash",N(I6)+N(J6)&gt;CASH_LIMIT),"Not deductible: pay by bank","")</f>
        <v/>
      </c>
      <c r="T6" s="19" t="inlineStr">
        <is>
          <t>Bank</t>
        </is>
      </c>
    </row>
    <row r="7" ht="33" customHeight="1">
      <c r="A7" s="18" t="inlineStr">
        <is>
          <t>Meskerem 9, 2019 E.C.</t>
        </is>
      </c>
      <c r="B7" s="18" t="inlineStr">
        <is>
          <t>Meskerem</t>
        </is>
      </c>
      <c r="C7" s="18" t="inlineStr">
        <is>
          <t>Customs decl. (placeholder)</t>
        </is>
      </c>
      <c r="D7" s="18" t="inlineStr">
        <is>
          <t>Customs declaration (imported kraft paper)</t>
        </is>
      </c>
      <c r="E7" s="18" t="inlineStr">
        <is>
          <t>n/a</t>
        </is>
      </c>
      <c r="F7" s="19" t="inlineStr">
        <is>
          <t>Yes</t>
        </is>
      </c>
      <c r="G7" s="18" t="inlineStr">
        <is>
          <t>Import VAT</t>
        </is>
      </c>
      <c r="H7" s="18" t="inlineStr">
        <is>
          <t>Import</t>
        </is>
      </c>
      <c r="I7" s="14" t="n">
        <v>4600000</v>
      </c>
      <c r="J7" s="14" t="n">
        <v>690000</v>
      </c>
      <c r="K7" s="19" t="inlineStr">
        <is>
          <t>Yes</t>
        </is>
      </c>
      <c r="L7" s="19" t="inlineStr">
        <is>
          <t>Yes</t>
        </is>
      </c>
      <c r="M7" s="18" t="n"/>
      <c r="N7" s="21">
        <f>IF(J7="","",IF(AND(K7="Yes",L7="Yes",F7="Yes"),J7,0))</f>
        <v/>
      </c>
      <c r="O7" s="21">
        <f>IF(J7="","",IF(L7="No",J7,0))</f>
        <v/>
      </c>
      <c r="P7" s="21">
        <f>IF(J7="","",IF(AND(K7="No",L7="Yes"),J7,0))</f>
        <v/>
      </c>
      <c r="Q7" s="18" t="n"/>
      <c r="R7" s="18" t="n"/>
      <c r="S7" s="22">
        <f>IF(AND(T7="Cash",N(I7)+N(J7)&gt;CASH_LIMIT),"Not deductible: pay by bank","")</f>
        <v/>
      </c>
      <c r="T7" s="19" t="inlineStr">
        <is>
          <t>Bank</t>
        </is>
      </c>
    </row>
    <row r="8" ht="33" customHeight="1">
      <c r="A8" s="18" t="inlineStr">
        <is>
          <t>Meskerem 11, 2019 E.C.</t>
        </is>
      </c>
      <c r="B8" s="18" t="inlineStr">
        <is>
          <t>Meskerem</t>
        </is>
      </c>
      <c r="C8" s="18" t="inlineStr">
        <is>
          <t>AE-0412</t>
        </is>
      </c>
      <c r="D8" s="18" t="inlineStr">
        <is>
          <t>Akaki Engineering Services</t>
        </is>
      </c>
      <c r="E8" s="18" t="inlineStr">
        <is>
          <t>On file</t>
        </is>
      </c>
      <c r="F8" s="19" t="inlineStr">
        <is>
          <t>Yes</t>
        </is>
      </c>
      <c r="G8" s="18" t="inlineStr">
        <is>
          <t>Machine maintenance</t>
        </is>
      </c>
      <c r="H8" s="18" t="inlineStr">
        <is>
          <t>Services</t>
        </is>
      </c>
      <c r="I8" s="14" t="n">
        <v>400000</v>
      </c>
      <c r="J8" s="14" t="n">
        <v>60000</v>
      </c>
      <c r="K8" s="19" t="inlineStr">
        <is>
          <t>Yes</t>
        </is>
      </c>
      <c r="L8" s="19" t="inlineStr">
        <is>
          <t>Yes</t>
        </is>
      </c>
      <c r="M8" s="18" t="n"/>
      <c r="N8" s="21">
        <f>IF(J8="","",IF(AND(K8="Yes",L8="Yes",F8="Yes"),J8,0))</f>
        <v/>
      </c>
      <c r="O8" s="21">
        <f>IF(J8="","",IF(L8="No",J8,0))</f>
        <v/>
      </c>
      <c r="P8" s="21">
        <f>IF(J8="","",IF(AND(K8="No",L8="Yes"),J8,0))</f>
        <v/>
      </c>
      <c r="Q8" s="18" t="n"/>
      <c r="R8" s="18" t="n"/>
      <c r="S8" s="22">
        <f>IF(AND(T8="Cash",N(I8)+N(J8)&gt;CASH_LIMIT),"Not deductible: pay by bank","")</f>
        <v/>
      </c>
      <c r="T8" s="19" t="inlineStr">
        <is>
          <t>Bank</t>
        </is>
      </c>
    </row>
    <row r="9" ht="33" customHeight="1">
      <c r="A9" s="18" t="inlineStr">
        <is>
          <t>Meskerem 30, 2019 E.C.</t>
        </is>
      </c>
      <c r="B9" s="18" t="inlineStr">
        <is>
          <t>Meskerem</t>
        </is>
      </c>
      <c r="C9" s="18" t="inlineStr">
        <is>
          <t>CC-0918</t>
        </is>
      </c>
      <c r="D9" s="18" t="inlineStr">
        <is>
          <t>Canteen catering contractor</t>
        </is>
      </c>
      <c r="E9" s="18" t="inlineStr">
        <is>
          <t>On file</t>
        </is>
      </c>
      <c r="F9" s="19" t="inlineStr">
        <is>
          <t>Yes</t>
        </is>
      </c>
      <c r="G9" s="18" t="inlineStr">
        <is>
          <t>Staff meals</t>
        </is>
      </c>
      <c r="H9" s="18" t="inlineStr">
        <is>
          <t>Services</t>
        </is>
      </c>
      <c r="I9" s="14" t="n">
        <v>120000</v>
      </c>
      <c r="J9" s="14" t="n">
        <v>18000</v>
      </c>
      <c r="K9" s="19" t="inlineStr">
        <is>
          <t>Yes</t>
        </is>
      </c>
      <c r="L9" s="19" t="inlineStr">
        <is>
          <t>No</t>
        </is>
      </c>
      <c r="M9" s="18" t="inlineStr">
        <is>
          <t>Food and catering</t>
        </is>
      </c>
      <c r="N9" s="21">
        <f>IF(J9="","",IF(AND(K9="Yes",L9="Yes",F9="Yes"),J9,0))</f>
        <v/>
      </c>
      <c r="O9" s="21">
        <f>IF(J9="","",IF(L9="No",J9,0))</f>
        <v/>
      </c>
      <c r="P9" s="21">
        <f>IF(J9="","",IF(AND(K9="No",L9="Yes"),J9,0))</f>
        <v/>
      </c>
      <c r="Q9" s="18" t="n"/>
      <c r="R9" s="18" t="n"/>
      <c r="S9" s="22">
        <f>IF(AND(T9="Cash",N(I9)+N(J9)&gt;CASH_LIMIT),"Not deductible: pay by bank","")</f>
        <v/>
      </c>
      <c r="T9" s="19" t="inlineStr">
        <is>
          <t>Bank</t>
        </is>
      </c>
    </row>
    <row r="10" ht="33" customHeight="1">
      <c r="A10" s="18" t="inlineStr">
        <is>
          <t>Meskerem 15, 2019 E.C.</t>
        </is>
      </c>
      <c r="B10" s="18" t="inlineStr">
        <is>
          <t>Meskerem</t>
        </is>
      </c>
      <c r="C10" s="18" t="inlineStr">
        <is>
          <t>GR-0077</t>
        </is>
      </c>
      <c r="D10" s="18" t="inlineStr">
        <is>
          <t>Garage</t>
        </is>
      </c>
      <c r="E10" s="18" t="inlineStr">
        <is>
          <t>On file</t>
        </is>
      </c>
      <c r="F10" s="19" t="inlineStr">
        <is>
          <t>Yes</t>
        </is>
      </c>
      <c r="G10" s="18" t="inlineStr">
        <is>
          <t>Repair of manager's passenger car</t>
        </is>
      </c>
      <c r="H10" s="18" t="inlineStr">
        <is>
          <t>Services</t>
        </is>
      </c>
      <c r="I10" s="14" t="n">
        <v>60000</v>
      </c>
      <c r="J10" s="14" t="n">
        <v>9000</v>
      </c>
      <c r="K10" s="19" t="inlineStr">
        <is>
          <t>Yes</t>
        </is>
      </c>
      <c r="L10" s="19" t="inlineStr">
        <is>
          <t>No</t>
        </is>
      </c>
      <c r="M10" s="18" t="inlineStr">
        <is>
          <t>Passenger vehicle</t>
        </is>
      </c>
      <c r="N10" s="21">
        <f>IF(J10="","",IF(AND(K10="Yes",L10="Yes",F10="Yes"),J10,0))</f>
        <v/>
      </c>
      <c r="O10" s="21">
        <f>IF(J10="","",IF(L10="No",J10,0))</f>
        <v/>
      </c>
      <c r="P10" s="21">
        <f>IF(J10="","",IF(AND(K10="No",L10="Yes"),J10,0))</f>
        <v/>
      </c>
      <c r="Q10" s="18" t="n"/>
      <c r="R10" s="18" t="n"/>
      <c r="S10" s="22">
        <f>IF(AND(T10="Cash",N(I10)+N(J10)&gt;CASH_LIMIT),"Not deductible: pay by bank","")</f>
        <v/>
      </c>
      <c r="T10" s="19" t="inlineStr">
        <is>
          <t>Bank</t>
        </is>
      </c>
    </row>
    <row r="11" ht="33" customHeight="1">
      <c r="A11" s="18" t="inlineStr">
        <is>
          <t>Meskerem 24, 2019 E.C.</t>
        </is>
      </c>
      <c r="B11" s="18" t="inlineStr">
        <is>
          <t>Meskerem</t>
        </is>
      </c>
      <c r="C11" s="18" t="inlineStr">
        <is>
          <t>Awaited</t>
        </is>
      </c>
      <c r="D11" s="18" t="inlineStr">
        <is>
          <t>Ink supplier</t>
        </is>
      </c>
      <c r="E11" s="18" t="inlineStr">
        <is>
          <t>On file</t>
        </is>
      </c>
      <c r="F11" s="19" t="inlineStr">
        <is>
          <t>Yes</t>
        </is>
      </c>
      <c r="G11" s="18" t="inlineStr">
        <is>
          <t>Printing ink, delivered Meskerem 24</t>
        </is>
      </c>
      <c r="H11" s="18" t="inlineStr">
        <is>
          <t>Goods</t>
        </is>
      </c>
      <c r="I11" s="14" t="n">
        <v>300000</v>
      </c>
      <c r="J11" s="14" t="n">
        <v>45000</v>
      </c>
      <c r="K11" s="19" t="inlineStr">
        <is>
          <t>No</t>
        </is>
      </c>
      <c r="L11" s="19" t="inlineStr">
        <is>
          <t>Yes</t>
        </is>
      </c>
      <c r="M11" s="18" t="n"/>
      <c r="N11" s="21">
        <f>IF(J11="","",IF(AND(K11="Yes",L11="Yes",F11="Yes"),J11,0))</f>
        <v/>
      </c>
      <c r="O11" s="21">
        <f>IF(J11="","",IF(L11="No",J11,0))</f>
        <v/>
      </c>
      <c r="P11" s="21">
        <f>IF(J11="","",IF(AND(K11="No",L11="Yes"),J11,0))</f>
        <v/>
      </c>
      <c r="Q11" s="18" t="inlineStr">
        <is>
          <t>Meskerem 2019 E.C.</t>
        </is>
      </c>
      <c r="R11" s="18" t="inlineStr">
        <is>
          <t>Meskerem 2020 E.C.</t>
        </is>
      </c>
      <c r="S11" s="22">
        <f>IF(AND(T11="Cash",N(I11)+N(J11)&gt;CASH_LIMIT),"Not deductible: pay by bank","")</f>
        <v/>
      </c>
      <c r="T11" s="19" t="inlineStr">
        <is>
          <t>Bank</t>
        </is>
      </c>
    </row>
    <row r="12" ht="33" customHeight="1">
      <c r="A12" s="18" t="inlineStr">
        <is>
          <t>Meskerem 19, 2019 E.C.</t>
        </is>
      </c>
      <c r="B12" s="18" t="inlineStr">
        <is>
          <t>Meskerem</t>
        </is>
      </c>
      <c r="C12" s="18" t="inlineStr">
        <is>
          <t>PW-11 and PW-12</t>
        </is>
      </c>
      <c r="D12" s="18" t="inlineStr">
        <is>
          <t>Pallet workshop (not VAT-registered)</t>
        </is>
      </c>
      <c r="E12" s="18" t="inlineStr">
        <is>
          <t>On file</t>
        </is>
      </c>
      <c r="F12" s="19" t="inlineStr">
        <is>
          <t>No</t>
        </is>
      </c>
      <c r="G12" s="18" t="inlineStr">
        <is>
          <t>260 pallets, PO-2291, two invoices</t>
        </is>
      </c>
      <c r="H12" s="18" t="inlineStr">
        <is>
          <t>Goods</t>
        </is>
      </c>
      <c r="I12" s="14" t="n">
        <v>26000</v>
      </c>
      <c r="J12" s="14" t="n">
        <v>0</v>
      </c>
      <c r="K12" s="19" t="inlineStr">
        <is>
          <t>Yes</t>
        </is>
      </c>
      <c r="L12" s="19" t="inlineStr">
        <is>
          <t>Yes</t>
        </is>
      </c>
      <c r="M12" s="18" t="n"/>
      <c r="N12" s="21">
        <f>IF(J12="","",IF(AND(K12="Yes",L12="Yes",F12="Yes"),J12,0))</f>
        <v/>
      </c>
      <c r="O12" s="21">
        <f>IF(J12="","",IF(L12="No",J12,0))</f>
        <v/>
      </c>
      <c r="P12" s="21">
        <f>IF(J12="","",IF(AND(K12="No",L12="Yes"),J12,0))</f>
        <v/>
      </c>
      <c r="Q12" s="18" t="n"/>
      <c r="R12" s="18" t="n"/>
      <c r="S12" s="22">
        <f>IF(AND(T12="Cash",N(I12)+N(J12)&gt;CASH_LIMIT),"Not deductible: pay by bank","")</f>
        <v/>
      </c>
      <c r="T12" s="19" t="inlineStr">
        <is>
          <t>Bank</t>
        </is>
      </c>
    </row>
    <row r="13" ht="33" customHeight="1">
      <c r="A13" s="18" t="inlineStr">
        <is>
          <t>Meskerem 21, 2019 E.C.</t>
        </is>
      </c>
      <c r="B13" s="18" t="inlineStr">
        <is>
          <t>Meskerem</t>
        </is>
      </c>
      <c r="C13" s="18" t="inlineStr">
        <is>
          <t>ST-3390</t>
        </is>
      </c>
      <c r="D13" s="18" t="inlineStr">
        <is>
          <t>Stationery shop (not VAT-registered)</t>
        </is>
      </c>
      <c r="E13" s="18" t="inlineStr">
        <is>
          <t>On file</t>
        </is>
      </c>
      <c r="F13" s="19" t="inlineStr">
        <is>
          <t>No</t>
        </is>
      </c>
      <c r="G13" s="18" t="inlineStr">
        <is>
          <t>Office supplies</t>
        </is>
      </c>
      <c r="H13" s="18" t="inlineStr">
        <is>
          <t>Goods</t>
        </is>
      </c>
      <c r="I13" s="14" t="n">
        <v>18000</v>
      </c>
      <c r="J13" s="14" t="n">
        <v>0</v>
      </c>
      <c r="K13" s="19" t="inlineStr">
        <is>
          <t>Yes</t>
        </is>
      </c>
      <c r="L13" s="19" t="inlineStr">
        <is>
          <t>Yes</t>
        </is>
      </c>
      <c r="M13" s="18" t="n"/>
      <c r="N13" s="21">
        <f>IF(J13="","",IF(AND(K13="Yes",L13="Yes",F13="Yes"),J13,0))</f>
        <v/>
      </c>
      <c r="O13" s="21">
        <f>IF(J13="","",IF(L13="No",J13,0))</f>
        <v/>
      </c>
      <c r="P13" s="21">
        <f>IF(J13="","",IF(AND(K13="No",L13="Yes"),J13,0))</f>
        <v/>
      </c>
      <c r="Q13" s="18" t="n"/>
      <c r="R13" s="18" t="n"/>
      <c r="S13" s="22">
        <f>IF(AND(T13="Cash",N(I13)+N(J13)&gt;CASH_LIMIT),"Not deductible: pay by bank","")</f>
        <v/>
      </c>
      <c r="T13" s="19" t="inlineStr">
        <is>
          <t>Bank</t>
        </is>
      </c>
    </row>
    <row r="14" ht="33" customHeight="1">
      <c r="A14" s="18" t="inlineStr">
        <is>
          <t>Meskerem 27, 2019 E.C.</t>
        </is>
      </c>
      <c r="B14" s="18" t="inlineStr">
        <is>
          <t>Meskerem</t>
        </is>
      </c>
      <c r="C14" s="18" t="inlineStr">
        <is>
          <t>Receipt only</t>
        </is>
      </c>
      <c r="D14" s="18" t="inlineStr">
        <is>
          <t>Ato Kiros Hailu, electrician (no TIN)</t>
        </is>
      </c>
      <c r="E14" s="18" t="inlineStr">
        <is>
          <t>None</t>
        </is>
      </c>
      <c r="F14" s="19" t="inlineStr">
        <is>
          <t>No</t>
        </is>
      </c>
      <c r="G14" s="18" t="inlineStr">
        <is>
          <t>Boiler room rewiring</t>
        </is>
      </c>
      <c r="H14" s="18" t="inlineStr">
        <is>
          <t>Services</t>
        </is>
      </c>
      <c r="I14" s="14" t="n">
        <v>25000</v>
      </c>
      <c r="J14" s="14" t="n">
        <v>0</v>
      </c>
      <c r="K14" s="19" t="inlineStr">
        <is>
          <t>Yes</t>
        </is>
      </c>
      <c r="L14" s="19" t="inlineStr">
        <is>
          <t>Yes</t>
        </is>
      </c>
      <c r="M14" s="18" t="n"/>
      <c r="N14" s="21">
        <f>IF(J14="","",IF(AND(K14="Yes",L14="Yes",F14="Yes"),J14,0))</f>
        <v/>
      </c>
      <c r="O14" s="21">
        <f>IF(J14="","",IF(L14="No",J14,0))</f>
        <v/>
      </c>
      <c r="P14" s="21">
        <f>IF(J14="","",IF(AND(K14="No",L14="Yes"),J14,0))</f>
        <v/>
      </c>
      <c r="Q14" s="18" t="n"/>
      <c r="R14" s="18" t="n"/>
      <c r="S14" s="22">
        <f>IF(AND(T14="Cash",N(I14)+N(J14)&gt;CASH_LIMIT),"Not deductible: pay by bank","")</f>
        <v/>
      </c>
      <c r="T14" s="19" t="inlineStr">
        <is>
          <t>Cash</t>
        </is>
      </c>
    </row>
    <row r="15">
      <c r="A15" s="18" t="n"/>
      <c r="B15" s="18" t="n"/>
      <c r="C15" s="18" t="n"/>
      <c r="D15" s="18" t="n"/>
      <c r="E15" s="18" t="n"/>
      <c r="F15" s="19" t="n"/>
      <c r="G15" s="18" t="n"/>
      <c r="H15" s="18" t="n"/>
      <c r="I15" s="14" t="n"/>
      <c r="J15" s="14" t="n"/>
      <c r="K15" s="19" t="n"/>
      <c r="L15" s="19" t="n"/>
      <c r="M15" s="18" t="n"/>
      <c r="N15" s="21">
        <f>IF(J15="","",IF(AND(K15="Yes",L15="Yes",F15="Yes"),J15,0))</f>
        <v/>
      </c>
      <c r="O15" s="21">
        <f>IF(J15="","",IF(L15="No",J15,0))</f>
        <v/>
      </c>
      <c r="P15" s="21">
        <f>IF(J15="","",IF(AND(K15="No",L15="Yes"),J15,0))</f>
        <v/>
      </c>
      <c r="Q15" s="18" t="n"/>
      <c r="R15" s="18" t="n"/>
      <c r="S15" s="22">
        <f>IF(AND(T15="Cash",N(I15)+N(J15)&gt;CASH_LIMIT),"Not deductible: pay by bank","")</f>
        <v/>
      </c>
      <c r="T15" s="19" t="n"/>
    </row>
    <row r="16">
      <c r="A16" s="18" t="n"/>
      <c r="B16" s="18" t="n"/>
      <c r="C16" s="18" t="n"/>
      <c r="D16" s="18" t="n"/>
      <c r="E16" s="18" t="n"/>
      <c r="F16" s="19" t="n"/>
      <c r="G16" s="18" t="n"/>
      <c r="H16" s="18" t="n"/>
      <c r="I16" s="14" t="n"/>
      <c r="J16" s="14" t="n"/>
      <c r="K16" s="19" t="n"/>
      <c r="L16" s="19" t="n"/>
      <c r="M16" s="18" t="n"/>
      <c r="N16" s="21">
        <f>IF(J16="","",IF(AND(K16="Yes",L16="Yes",F16="Yes"),J16,0))</f>
        <v/>
      </c>
      <c r="O16" s="21">
        <f>IF(J16="","",IF(L16="No",J16,0))</f>
        <v/>
      </c>
      <c r="P16" s="21">
        <f>IF(J16="","",IF(AND(K16="No",L16="Yes"),J16,0))</f>
        <v/>
      </c>
      <c r="Q16" s="18" t="n"/>
      <c r="R16" s="18" t="n"/>
      <c r="S16" s="22">
        <f>IF(AND(T16="Cash",N(I16)+N(J16)&gt;CASH_LIMIT),"Not deductible: pay by bank","")</f>
        <v/>
      </c>
      <c r="T16" s="19" t="n"/>
    </row>
    <row r="17">
      <c r="A17" s="18" t="n"/>
      <c r="B17" s="18" t="n"/>
      <c r="C17" s="18" t="n"/>
      <c r="D17" s="18" t="n"/>
      <c r="E17" s="18" t="n"/>
      <c r="F17" s="19" t="n"/>
      <c r="G17" s="18" t="n"/>
      <c r="H17" s="18" t="n"/>
      <c r="I17" s="14" t="n"/>
      <c r="J17" s="14" t="n"/>
      <c r="K17" s="19" t="n"/>
      <c r="L17" s="19" t="n"/>
      <c r="M17" s="18" t="n"/>
      <c r="N17" s="21">
        <f>IF(J17="","",IF(AND(K17="Yes",L17="Yes",F17="Yes"),J17,0))</f>
        <v/>
      </c>
      <c r="O17" s="21">
        <f>IF(J17="","",IF(L17="No",J17,0))</f>
        <v/>
      </c>
      <c r="P17" s="21">
        <f>IF(J17="","",IF(AND(K17="No",L17="Yes"),J17,0))</f>
        <v/>
      </c>
      <c r="Q17" s="18" t="n"/>
      <c r="R17" s="18" t="n"/>
      <c r="S17" s="22">
        <f>IF(AND(T17="Cash",N(I17)+N(J17)&gt;CASH_LIMIT),"Not deductible: pay by bank","")</f>
        <v/>
      </c>
      <c r="T17" s="19" t="n"/>
    </row>
    <row r="18">
      <c r="A18" s="18" t="n"/>
      <c r="B18" s="18" t="n"/>
      <c r="C18" s="18" t="n"/>
      <c r="D18" s="18" t="n"/>
      <c r="E18" s="18" t="n"/>
      <c r="F18" s="19" t="n"/>
      <c r="G18" s="18" t="n"/>
      <c r="H18" s="18" t="n"/>
      <c r="I18" s="14" t="n"/>
      <c r="J18" s="14" t="n"/>
      <c r="K18" s="19" t="n"/>
      <c r="L18" s="19" t="n"/>
      <c r="M18" s="18" t="n"/>
      <c r="N18" s="21">
        <f>IF(J18="","",IF(AND(K18="Yes",L18="Yes",F18="Yes"),J18,0))</f>
        <v/>
      </c>
      <c r="O18" s="21">
        <f>IF(J18="","",IF(L18="No",J18,0))</f>
        <v/>
      </c>
      <c r="P18" s="21">
        <f>IF(J18="","",IF(AND(K18="No",L18="Yes"),J18,0))</f>
        <v/>
      </c>
      <c r="Q18" s="18" t="n"/>
      <c r="R18" s="18" t="n"/>
      <c r="S18" s="22">
        <f>IF(AND(T18="Cash",N(I18)+N(J18)&gt;CASH_LIMIT),"Not deductible: pay by bank","")</f>
        <v/>
      </c>
      <c r="T18" s="19" t="n"/>
    </row>
    <row r="19">
      <c r="A19" s="18" t="n"/>
      <c r="B19" s="18" t="n"/>
      <c r="C19" s="18" t="n"/>
      <c r="D19" s="18" t="n"/>
      <c r="E19" s="18" t="n"/>
      <c r="F19" s="19" t="n"/>
      <c r="G19" s="18" t="n"/>
      <c r="H19" s="18" t="n"/>
      <c r="I19" s="14" t="n"/>
      <c r="J19" s="14" t="n"/>
      <c r="K19" s="19" t="n"/>
      <c r="L19" s="19" t="n"/>
      <c r="M19" s="18" t="n"/>
      <c r="N19" s="21">
        <f>IF(J19="","",IF(AND(K19="Yes",L19="Yes",F19="Yes"),J19,0))</f>
        <v/>
      </c>
      <c r="O19" s="21">
        <f>IF(J19="","",IF(L19="No",J19,0))</f>
        <v/>
      </c>
      <c r="P19" s="21">
        <f>IF(J19="","",IF(AND(K19="No",L19="Yes"),J19,0))</f>
        <v/>
      </c>
      <c r="Q19" s="18" t="n"/>
      <c r="R19" s="18" t="n"/>
      <c r="S19" s="22">
        <f>IF(AND(T19="Cash",N(I19)+N(J19)&gt;CASH_LIMIT),"Not deductible: pay by bank","")</f>
        <v/>
      </c>
      <c r="T19" s="19" t="n"/>
    </row>
    <row r="20">
      <c r="A20" s="18" t="n"/>
      <c r="B20" s="18" t="n"/>
      <c r="C20" s="18" t="n"/>
      <c r="D20" s="18" t="n"/>
      <c r="E20" s="18" t="n"/>
      <c r="F20" s="19" t="n"/>
      <c r="G20" s="18" t="n"/>
      <c r="H20" s="18" t="n"/>
      <c r="I20" s="14" t="n"/>
      <c r="J20" s="14" t="n"/>
      <c r="K20" s="19" t="n"/>
      <c r="L20" s="19" t="n"/>
      <c r="M20" s="18" t="n"/>
      <c r="N20" s="21">
        <f>IF(J20="","",IF(AND(K20="Yes",L20="Yes",F20="Yes"),J20,0))</f>
        <v/>
      </c>
      <c r="O20" s="21">
        <f>IF(J20="","",IF(L20="No",J20,0))</f>
        <v/>
      </c>
      <c r="P20" s="21">
        <f>IF(J20="","",IF(AND(K20="No",L20="Yes"),J20,0))</f>
        <v/>
      </c>
      <c r="Q20" s="18" t="n"/>
      <c r="R20" s="18" t="n"/>
      <c r="S20" s="22">
        <f>IF(AND(T20="Cash",N(I20)+N(J20)&gt;CASH_LIMIT),"Not deductible: pay by bank","")</f>
        <v/>
      </c>
      <c r="T20" s="19" t="n"/>
    </row>
    <row r="21">
      <c r="A21" s="18" t="n"/>
      <c r="B21" s="18" t="n"/>
      <c r="C21" s="18" t="n"/>
      <c r="D21" s="18" t="n"/>
      <c r="E21" s="18" t="n"/>
      <c r="F21" s="19" t="n"/>
      <c r="G21" s="18" t="n"/>
      <c r="H21" s="18" t="n"/>
      <c r="I21" s="14" t="n"/>
      <c r="J21" s="14" t="n"/>
      <c r="K21" s="19" t="n"/>
      <c r="L21" s="19" t="n"/>
      <c r="M21" s="18" t="n"/>
      <c r="N21" s="21">
        <f>IF(J21="","",IF(AND(K21="Yes",L21="Yes",F21="Yes"),J21,0))</f>
        <v/>
      </c>
      <c r="O21" s="21">
        <f>IF(J21="","",IF(L21="No",J21,0))</f>
        <v/>
      </c>
      <c r="P21" s="21">
        <f>IF(J21="","",IF(AND(K21="No",L21="Yes"),J21,0))</f>
        <v/>
      </c>
      <c r="Q21" s="18" t="n"/>
      <c r="R21" s="18" t="n"/>
      <c r="S21" s="22">
        <f>IF(AND(T21="Cash",N(I21)+N(J21)&gt;CASH_LIMIT),"Not deductible: pay by bank","")</f>
        <v/>
      </c>
      <c r="T21" s="19" t="n"/>
    </row>
    <row r="22">
      <c r="A22" s="18" t="n"/>
      <c r="B22" s="18" t="n"/>
      <c r="C22" s="18" t="n"/>
      <c r="D22" s="18" t="n"/>
      <c r="E22" s="18" t="n"/>
      <c r="F22" s="19" t="n"/>
      <c r="G22" s="18" t="n"/>
      <c r="H22" s="18" t="n"/>
      <c r="I22" s="14" t="n"/>
      <c r="J22" s="14" t="n"/>
      <c r="K22" s="19" t="n"/>
      <c r="L22" s="19" t="n"/>
      <c r="M22" s="18" t="n"/>
      <c r="N22" s="21">
        <f>IF(J22="","",IF(AND(K22="Yes",L22="Yes",F22="Yes"),J22,0))</f>
        <v/>
      </c>
      <c r="O22" s="21">
        <f>IF(J22="","",IF(L22="No",J22,0))</f>
        <v/>
      </c>
      <c r="P22" s="21">
        <f>IF(J22="","",IF(AND(K22="No",L22="Yes"),J22,0))</f>
        <v/>
      </c>
      <c r="Q22" s="18" t="n"/>
      <c r="R22" s="18" t="n"/>
      <c r="S22" s="22">
        <f>IF(AND(T22="Cash",N(I22)+N(J22)&gt;CASH_LIMIT),"Not deductible: pay by bank","")</f>
        <v/>
      </c>
      <c r="T22" s="19" t="n"/>
    </row>
    <row r="23">
      <c r="A23" s="18" t="n"/>
      <c r="B23" s="18" t="n"/>
      <c r="C23" s="18" t="n"/>
      <c r="D23" s="18" t="n"/>
      <c r="E23" s="18" t="n"/>
      <c r="F23" s="19" t="n"/>
      <c r="G23" s="18" t="n"/>
      <c r="H23" s="18" t="n"/>
      <c r="I23" s="14" t="n"/>
      <c r="J23" s="14" t="n"/>
      <c r="K23" s="19" t="n"/>
      <c r="L23" s="19" t="n"/>
      <c r="M23" s="18" t="n"/>
      <c r="N23" s="21">
        <f>IF(J23="","",IF(AND(K23="Yes",L23="Yes",F23="Yes"),J23,0))</f>
        <v/>
      </c>
      <c r="O23" s="21">
        <f>IF(J23="","",IF(L23="No",J23,0))</f>
        <v/>
      </c>
      <c r="P23" s="21">
        <f>IF(J23="","",IF(AND(K23="No",L23="Yes"),J23,0))</f>
        <v/>
      </c>
      <c r="Q23" s="18" t="n"/>
      <c r="R23" s="18" t="n"/>
      <c r="S23" s="22">
        <f>IF(AND(T23="Cash",N(I23)+N(J23)&gt;CASH_LIMIT),"Not deductible: pay by bank","")</f>
        <v/>
      </c>
      <c r="T23" s="19" t="n"/>
    </row>
    <row r="24">
      <c r="A24" s="18" t="n"/>
      <c r="B24" s="18" t="n"/>
      <c r="C24" s="18" t="n"/>
      <c r="D24" s="18" t="n"/>
      <c r="E24" s="18" t="n"/>
      <c r="F24" s="19" t="n"/>
      <c r="G24" s="18" t="n"/>
      <c r="H24" s="18" t="n"/>
      <c r="I24" s="14" t="n"/>
      <c r="J24" s="14" t="n"/>
      <c r="K24" s="19" t="n"/>
      <c r="L24" s="19" t="n"/>
      <c r="M24" s="18" t="n"/>
      <c r="N24" s="21">
        <f>IF(J24="","",IF(AND(K24="Yes",L24="Yes",F24="Yes"),J24,0))</f>
        <v/>
      </c>
      <c r="O24" s="21">
        <f>IF(J24="","",IF(L24="No",J24,0))</f>
        <v/>
      </c>
      <c r="P24" s="21">
        <f>IF(J24="","",IF(AND(K24="No",L24="Yes"),J24,0))</f>
        <v/>
      </c>
      <c r="Q24" s="18" t="n"/>
      <c r="R24" s="18" t="n"/>
      <c r="S24" s="22">
        <f>IF(AND(T24="Cash",N(I24)+N(J24)&gt;CASH_LIMIT),"Not deductible: pay by bank","")</f>
        <v/>
      </c>
      <c r="T24" s="19" t="n"/>
    </row>
    <row r="25">
      <c r="A25" s="18" t="n"/>
      <c r="B25" s="18" t="n"/>
      <c r="C25" s="18" t="n"/>
      <c r="D25" s="18" t="n"/>
      <c r="E25" s="18" t="n"/>
      <c r="F25" s="19" t="n"/>
      <c r="G25" s="18" t="n"/>
      <c r="H25" s="18" t="n"/>
      <c r="I25" s="14" t="n"/>
      <c r="J25" s="14" t="n"/>
      <c r="K25" s="19" t="n"/>
      <c r="L25" s="19" t="n"/>
      <c r="M25" s="18" t="n"/>
      <c r="N25" s="21">
        <f>IF(J25="","",IF(AND(K25="Yes",L25="Yes",F25="Yes"),J25,0))</f>
        <v/>
      </c>
      <c r="O25" s="21">
        <f>IF(J25="","",IF(L25="No",J25,0))</f>
        <v/>
      </c>
      <c r="P25" s="21">
        <f>IF(J25="","",IF(AND(K25="No",L25="Yes"),J25,0))</f>
        <v/>
      </c>
      <c r="Q25" s="18" t="n"/>
      <c r="R25" s="18" t="n"/>
      <c r="S25" s="22">
        <f>IF(AND(T25="Cash",N(I25)+N(J25)&gt;CASH_LIMIT),"Not deductible: pay by bank","")</f>
        <v/>
      </c>
      <c r="T25" s="19" t="n"/>
    </row>
    <row r="26">
      <c r="A26" s="18" t="n"/>
      <c r="B26" s="18" t="n"/>
      <c r="C26" s="18" t="n"/>
      <c r="D26" s="18" t="n"/>
      <c r="E26" s="18" t="n"/>
      <c r="F26" s="19" t="n"/>
      <c r="G26" s="18" t="n"/>
      <c r="H26" s="18" t="n"/>
      <c r="I26" s="14" t="n"/>
      <c r="J26" s="14" t="n"/>
      <c r="K26" s="19" t="n"/>
      <c r="L26" s="19" t="n"/>
      <c r="M26" s="18" t="n"/>
      <c r="N26" s="21">
        <f>IF(J26="","",IF(AND(K26="Yes",L26="Yes",F26="Yes"),J26,0))</f>
        <v/>
      </c>
      <c r="O26" s="21">
        <f>IF(J26="","",IF(L26="No",J26,0))</f>
        <v/>
      </c>
      <c r="P26" s="21">
        <f>IF(J26="","",IF(AND(K26="No",L26="Yes"),J26,0))</f>
        <v/>
      </c>
      <c r="Q26" s="18" t="n"/>
      <c r="R26" s="18" t="n"/>
      <c r="S26" s="22">
        <f>IF(AND(T26="Cash",N(I26)+N(J26)&gt;CASH_LIMIT),"Not deductible: pay by bank","")</f>
        <v/>
      </c>
      <c r="T26" s="19" t="n"/>
    </row>
    <row r="27">
      <c r="A27" s="18" t="n"/>
      <c r="B27" s="18" t="n"/>
      <c r="C27" s="18" t="n"/>
      <c r="D27" s="18" t="n"/>
      <c r="E27" s="18" t="n"/>
      <c r="F27" s="19" t="n"/>
      <c r="G27" s="18" t="n"/>
      <c r="H27" s="18" t="n"/>
      <c r="I27" s="14" t="n"/>
      <c r="J27" s="14" t="n"/>
      <c r="K27" s="19" t="n"/>
      <c r="L27" s="19" t="n"/>
      <c r="M27" s="18" t="n"/>
      <c r="N27" s="21">
        <f>IF(J27="","",IF(AND(K27="Yes",L27="Yes",F27="Yes"),J27,0))</f>
        <v/>
      </c>
      <c r="O27" s="21">
        <f>IF(J27="","",IF(L27="No",J27,0))</f>
        <v/>
      </c>
      <c r="P27" s="21">
        <f>IF(J27="","",IF(AND(K27="No",L27="Yes"),J27,0))</f>
        <v/>
      </c>
      <c r="Q27" s="18" t="n"/>
      <c r="R27" s="18" t="n"/>
      <c r="S27" s="22">
        <f>IF(AND(T27="Cash",N(I27)+N(J27)&gt;CASH_LIMIT),"Not deductible: pay by bank","")</f>
        <v/>
      </c>
      <c r="T27" s="19" t="n"/>
    </row>
    <row r="28">
      <c r="A28" s="18" t="n"/>
      <c r="B28" s="18" t="n"/>
      <c r="C28" s="18" t="n"/>
      <c r="D28" s="18" t="n"/>
      <c r="E28" s="18" t="n"/>
      <c r="F28" s="19" t="n"/>
      <c r="G28" s="18" t="n"/>
      <c r="H28" s="18" t="n"/>
      <c r="I28" s="14" t="n"/>
      <c r="J28" s="14" t="n"/>
      <c r="K28" s="19" t="n"/>
      <c r="L28" s="19" t="n"/>
      <c r="M28" s="18" t="n"/>
      <c r="N28" s="21">
        <f>IF(J28="","",IF(AND(K28="Yes",L28="Yes",F28="Yes"),J28,0))</f>
        <v/>
      </c>
      <c r="O28" s="21">
        <f>IF(J28="","",IF(L28="No",J28,0))</f>
        <v/>
      </c>
      <c r="P28" s="21">
        <f>IF(J28="","",IF(AND(K28="No",L28="Yes"),J28,0))</f>
        <v/>
      </c>
      <c r="Q28" s="18" t="n"/>
      <c r="R28" s="18" t="n"/>
      <c r="S28" s="22">
        <f>IF(AND(T28="Cash",N(I28)+N(J28)&gt;CASH_LIMIT),"Not deductible: pay by bank","")</f>
        <v/>
      </c>
      <c r="T28" s="19" t="n"/>
    </row>
    <row r="29">
      <c r="A29" s="18" t="n"/>
      <c r="B29" s="18" t="n"/>
      <c r="C29" s="18" t="n"/>
      <c r="D29" s="18" t="n"/>
      <c r="E29" s="18" t="n"/>
      <c r="F29" s="19" t="n"/>
      <c r="G29" s="18" t="n"/>
      <c r="H29" s="18" t="n"/>
      <c r="I29" s="14" t="n"/>
      <c r="J29" s="14" t="n"/>
      <c r="K29" s="19" t="n"/>
      <c r="L29" s="19" t="n"/>
      <c r="M29" s="18" t="n"/>
      <c r="N29" s="21">
        <f>IF(J29="","",IF(AND(K29="Yes",L29="Yes",F29="Yes"),J29,0))</f>
        <v/>
      </c>
      <c r="O29" s="21">
        <f>IF(J29="","",IF(L29="No",J29,0))</f>
        <v/>
      </c>
      <c r="P29" s="21">
        <f>IF(J29="","",IF(AND(K29="No",L29="Yes"),J29,0))</f>
        <v/>
      </c>
      <c r="Q29" s="18" t="n"/>
      <c r="R29" s="18" t="n"/>
      <c r="S29" s="22">
        <f>IF(AND(T29="Cash",N(I29)+N(J29)&gt;CASH_LIMIT),"Not deductible: pay by bank","")</f>
        <v/>
      </c>
      <c r="T29" s="19" t="n"/>
    </row>
    <row r="30">
      <c r="A30" s="18" t="n"/>
      <c r="B30" s="18" t="n"/>
      <c r="C30" s="18" t="n"/>
      <c r="D30" s="18" t="n"/>
      <c r="E30" s="18" t="n"/>
      <c r="F30" s="19" t="n"/>
      <c r="G30" s="18" t="n"/>
      <c r="H30" s="18" t="n"/>
      <c r="I30" s="14" t="n"/>
      <c r="J30" s="14" t="n"/>
      <c r="K30" s="19" t="n"/>
      <c r="L30" s="19" t="n"/>
      <c r="M30" s="18" t="n"/>
      <c r="N30" s="21">
        <f>IF(J30="","",IF(AND(K30="Yes",L30="Yes",F30="Yes"),J30,0))</f>
        <v/>
      </c>
      <c r="O30" s="21">
        <f>IF(J30="","",IF(L30="No",J30,0))</f>
        <v/>
      </c>
      <c r="P30" s="21">
        <f>IF(J30="","",IF(AND(K30="No",L30="Yes"),J30,0))</f>
        <v/>
      </c>
      <c r="Q30" s="18" t="n"/>
      <c r="R30" s="18" t="n"/>
      <c r="S30" s="22">
        <f>IF(AND(T30="Cash",N(I30)+N(J30)&gt;CASH_LIMIT),"Not deductible: pay by bank","")</f>
        <v/>
      </c>
      <c r="T30" s="19" t="n"/>
    </row>
    <row r="31">
      <c r="A31" s="16" t="inlineStr">
        <is>
          <t>For import rows enter Yes in column F, since the VAT is paid to customs. A missed input credit can be claimed within 12 calendar months after the period in which it arose.</t>
        </is>
      </c>
    </row>
    <row r="32"/>
    <row r="33">
      <c r="A33" s="5" t="inlineStr">
        <is>
          <t>Totals</t>
        </is>
      </c>
    </row>
    <row r="34">
      <c r="A34" s="8" t="inlineStr">
        <is>
          <t>Meskerem creditable input VAT</t>
        </is>
      </c>
      <c r="B34" s="7" t="n"/>
      <c r="C34" s="7" t="n"/>
      <c r="D34" s="7" t="n"/>
      <c r="E34" s="7" t="n"/>
      <c r="F34" s="7" t="n"/>
      <c r="G34" s="7" t="n"/>
      <c r="H34" s="7" t="n"/>
      <c r="I34" s="24">
        <f>SUMIFS('Purchase Register'!$N$4:$N$30,'Purchase Register'!$B$4:$B$30,"Meskerem")</f>
        <v/>
      </c>
    </row>
    <row r="35">
      <c r="A35" s="8" t="inlineStr">
        <is>
          <t>Meskerem non-creditable VAT (expensed)</t>
        </is>
      </c>
      <c r="B35" s="7" t="n"/>
      <c r="C35" s="7" t="n"/>
      <c r="D35" s="7" t="n"/>
      <c r="E35" s="7" t="n"/>
      <c r="F35" s="7" t="n"/>
      <c r="G35" s="7" t="n"/>
      <c r="H35" s="7" t="n"/>
      <c r="I35" s="24">
        <f>SUMIFS('Purchase Register'!$O$4:$O$30,'Purchase Register'!$B$4:$B$30,"Meskerem")</f>
        <v/>
      </c>
    </row>
    <row r="36">
      <c r="A36" s="8" t="inlineStr">
        <is>
          <t>Meskerem pending VAT (invoice awaited)</t>
        </is>
      </c>
      <c r="B36" s="7" t="n"/>
      <c r="C36" s="7" t="n"/>
      <c r="D36" s="7" t="n"/>
      <c r="E36" s="7" t="n"/>
      <c r="F36" s="7" t="n"/>
      <c r="G36" s="7" t="n"/>
      <c r="H36" s="7" t="n"/>
      <c r="I36" s="24">
        <f>SUMIFS('Purchase Register'!$P$4:$P$30,'Purchase Register'!$B$4:$B$30,"Meskerem")</f>
        <v/>
      </c>
    </row>
    <row r="37">
      <c r="A37" s="8" t="inlineStr">
        <is>
          <t>Quarter creditable input VAT</t>
        </is>
      </c>
      <c r="B37" s="7" t="n"/>
      <c r="C37" s="7" t="n"/>
      <c r="D37" s="7" t="n"/>
      <c r="E37" s="7" t="n"/>
      <c r="F37" s="7" t="n"/>
      <c r="G37" s="7" t="n"/>
      <c r="H37" s="7" t="n"/>
      <c r="I37" s="24">
        <f>SUM('Purchase Register'!$N$4:$N$30)</f>
        <v/>
      </c>
    </row>
    <row r="38">
      <c r="A38" s="8" t="inlineStr">
        <is>
          <t>Cash payments above the limit (count)</t>
        </is>
      </c>
      <c r="B38" s="7" t="n"/>
      <c r="C38" s="7" t="n"/>
      <c r="D38" s="7" t="n"/>
      <c r="E38" s="7" t="n"/>
      <c r="F38" s="7" t="n"/>
      <c r="G38" s="7" t="n"/>
      <c r="H38" s="7" t="n"/>
      <c r="I38" s="24">
        <f>COUNTIF('Purchase Register'!$S$4:$S$30,"Not*")</f>
        <v/>
      </c>
    </row>
  </sheetData>
  <mergeCells count="7">
    <mergeCell ref="A1:T1"/>
    <mergeCell ref="A31:T31"/>
    <mergeCell ref="A35:H35"/>
    <mergeCell ref="A38:H38"/>
    <mergeCell ref="A36:H36"/>
    <mergeCell ref="A37:H37"/>
    <mergeCell ref="A34:H34"/>
  </mergeCells>
  <conditionalFormatting sqref="S4:S30">
    <cfRule type="expression" priority="1" dxfId="0">
      <formula>$S4&lt;&gt;""</formula>
    </cfRule>
  </conditionalFormatting>
  <conditionalFormatting sqref="L4:L30">
    <cfRule type="cellIs" priority="2" operator="equal" dxfId="1">
      <formula>"No"</formula>
    </cfRule>
  </conditionalFormatting>
  <conditionalFormatting sqref="P4:P30">
    <cfRule type="cellIs" priority="3" operator="greaterThan" dxfId="1">
      <formula>0</formula>
    </cfRule>
  </conditionalFormatting>
  <dataValidations count="5">
    <dataValidation sqref="B4:B30" showDropDown="0" showInputMessage="0" showErrorMessage="0" allowBlank="1" errorTitle="Invalid entry" error="Choose a value from the list." type="list">
      <formula1>"Hamle,Nehase and Pagume,Meskerem,Tikimt,Hidar,Tahsas,Tir,Yekatit,Megabit,Miyazia,Ginbot,Sene"</formula1>
    </dataValidation>
    <dataValidation sqref="F4:F30 K4:L30" showDropDown="0" showInputMessage="0" showErrorMessage="0" allowBlank="1" errorTitle="Invalid entry" error="Choose a value from the list." type="list">
      <formula1>"Yes,No"</formula1>
    </dataValidation>
    <dataValidation sqref="H4:H30" showDropDown="0" showInputMessage="0" showErrorMessage="0" allowBlank="1" errorTitle="Invalid entry" error="Choose a value from the list." type="list">
      <formula1>"Goods,Services,Import"</formula1>
    </dataValidation>
    <dataValidation sqref="M4:M30" showDropDown="0" showInputMessage="0" showErrorMessage="0" allowBlank="1" errorTitle="Invalid entry" error="Choose a value from the list." type="list">
      <formula1>"Food and catering,Entertainment and hospitality,Passenger vehicle,Exempt use,Supplier not registered"</formula1>
    </dataValidation>
    <dataValidation sqref="T4:T30" showDropDown="0" showInputMessage="0" showErrorMessage="0" allowBlank="1" errorTitle="Invalid entry" error="Choose a value from the list." type="list">
      <formula1>"Bank,Cash"</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G1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56" customWidth="1" min="2" max="2"/>
    <col width="17" customWidth="1" min="3" max="3"/>
    <col width="17" customWidth="1" min="4" max="4"/>
    <col width="17" customWidth="1" min="5" max="5"/>
    <col width="17" customWidth="1" min="6" max="6"/>
    <col width="46" customWidth="1" min="7" max="7"/>
  </cols>
  <sheetData>
    <row r="1" ht="30" customHeight="1">
      <c r="A1" s="12" t="inlineStr">
        <is>
          <t>VAT Return Working: each month's VAT return built from the registers, compared with the return as first prepared or filed.</t>
        </is>
      </c>
      <c r="B1" s="2" t="n"/>
      <c r="C1" s="2" t="n"/>
      <c r="D1" s="2" t="n"/>
      <c r="E1" s="2" t="n"/>
      <c r="F1" s="2" t="n"/>
      <c r="G1" s="2" t="n"/>
    </row>
    <row r="2"/>
    <row r="3" ht="32" customHeight="1">
      <c r="A3" s="6" t="inlineStr">
        <is>
          <t>No.</t>
        </is>
      </c>
      <c r="B3" s="6" t="inlineStr">
        <is>
          <t>Line</t>
        </is>
      </c>
      <c r="C3" s="6" t="inlineStr">
        <is>
          <t>Hamle</t>
        </is>
      </c>
      <c r="D3" s="6" t="inlineStr">
        <is>
          <t>Nehase and Pagume</t>
        </is>
      </c>
      <c r="E3" s="6" t="inlineStr">
        <is>
          <t>Meskerem</t>
        </is>
      </c>
      <c r="F3" s="6" t="inlineStr">
        <is>
          <t>Quarter total</t>
        </is>
      </c>
      <c r="G3" s="6" t="inlineStr">
        <is>
          <t>Note</t>
        </is>
      </c>
    </row>
    <row r="4">
      <c r="A4" s="25" t="inlineStr">
        <is>
          <t>1</t>
        </is>
      </c>
      <c r="B4" s="9" t="inlineStr">
        <is>
          <t>Taxable sales (Sales Register, all invoices)</t>
        </is>
      </c>
      <c r="C4" s="21">
        <f>SUMIFS('Sales Register'!$G$4:$G$30,'Sales Register'!$B$4:$B$30,C$3,'Sales Register'!$F$4:$F$30,"Taxable")</f>
        <v/>
      </c>
      <c r="D4" s="21">
        <f>SUMIFS('Sales Register'!$G$4:$G$30,'Sales Register'!$B$4:$B$30,D$3,'Sales Register'!$F$4:$F$30,"Taxable")</f>
        <v/>
      </c>
      <c r="E4" s="21">
        <f>SUMIFS('Sales Register'!$G$4:$G$30,'Sales Register'!$B$4:$B$30,E$3,'Sales Register'!$F$4:$F$30,"Taxable")</f>
        <v/>
      </c>
      <c r="F4" s="21">
        <f>SUM(C4:E4)</f>
        <v/>
      </c>
      <c r="G4" s="9" t="inlineStr"/>
    </row>
    <row r="5">
      <c r="A5" s="25" t="inlineStr">
        <is>
          <t>2</t>
        </is>
      </c>
      <c r="B5" s="9" t="inlineStr">
        <is>
          <t>Output VAT = line 1 x VAT rate</t>
        </is>
      </c>
      <c r="C5" s="21">
        <f>ROUND(C4*VAT_RATE,0)</f>
        <v/>
      </c>
      <c r="D5" s="21">
        <f>ROUND(D4*VAT_RATE,0)</f>
        <v/>
      </c>
      <c r="E5" s="21">
        <f>ROUND(E4*VAT_RATE,0)</f>
        <v/>
      </c>
      <c r="F5" s="21">
        <f>SUM(C5:E5)</f>
        <v/>
      </c>
      <c r="G5" s="9" t="inlineStr"/>
    </row>
    <row r="6" ht="33" customHeight="1">
      <c r="A6" s="25" t="inlineStr">
        <is>
          <t>3</t>
        </is>
      </c>
      <c r="B6" s="9" t="inlineStr">
        <is>
          <t>Zero-rated sales</t>
        </is>
      </c>
      <c r="C6" s="21">
        <f>SUMIFS('Sales Register'!$G$4:$G$30,'Sales Register'!$B$4:$B$30,C$3,'Sales Register'!$F$4:$F$30,"Zero-rated")</f>
        <v/>
      </c>
      <c r="D6" s="21">
        <f>SUMIFS('Sales Register'!$G$4:$G$30,'Sales Register'!$B$4:$B$30,D$3,'Sales Register'!$F$4:$F$30,"Zero-rated")</f>
        <v/>
      </c>
      <c r="E6" s="21">
        <f>SUMIFS('Sales Register'!$G$4:$G$30,'Sales Register'!$B$4:$B$30,E$3,'Sales Register'!$F$4:$F$30,"Zero-rated")</f>
        <v/>
      </c>
      <c r="F6" s="21">
        <f>SUM(C6:E6)</f>
        <v/>
      </c>
      <c r="G6" s="9" t="inlineStr">
        <is>
          <t>Export: keep the customs export declaration and proof of payment.</t>
        </is>
      </c>
    </row>
    <row r="7">
      <c r="A7" s="25" t="inlineStr">
        <is>
          <t>4</t>
        </is>
      </c>
      <c r="B7" s="9" t="inlineStr">
        <is>
          <t>Exempt sales</t>
        </is>
      </c>
      <c r="C7" s="21">
        <f>SUMIFS('Sales Register'!$G$4:$G$30,'Sales Register'!$B$4:$B$30,C$3,'Sales Register'!$F$4:$F$30,"Exempt")</f>
        <v/>
      </c>
      <c r="D7" s="21">
        <f>SUMIFS('Sales Register'!$G$4:$G$30,'Sales Register'!$B$4:$B$30,D$3,'Sales Register'!$F$4:$F$30,"Exempt")</f>
        <v/>
      </c>
      <c r="E7" s="21">
        <f>SUMIFS('Sales Register'!$G$4:$G$30,'Sales Register'!$B$4:$B$30,E$3,'Sales Register'!$F$4:$F$30,"Exempt")</f>
        <v/>
      </c>
      <c r="F7" s="21">
        <f>SUM(C7:E7)</f>
        <v/>
      </c>
      <c r="G7" s="9" t="inlineStr"/>
    </row>
    <row r="8">
      <c r="A8" s="25" t="inlineStr">
        <is>
          <t>5</t>
        </is>
      </c>
      <c r="B8" s="9" t="inlineStr">
        <is>
          <t>Reverse charge VAT on services from abroad (input)</t>
        </is>
      </c>
      <c r="C8" s="14" t="n">
        <v>0</v>
      </c>
      <c r="D8" s="14" t="n">
        <v>0</v>
      </c>
      <c r="E8" s="14" t="n">
        <v>0</v>
      </c>
      <c r="F8" s="21">
        <f>SUM(C8:E8)</f>
        <v/>
      </c>
      <c r="G8" s="9" t="inlineStr"/>
    </row>
    <row r="9">
      <c r="A9" s="25" t="inlineStr">
        <is>
          <t>6</t>
        </is>
      </c>
      <c r="B9" s="9" t="inlineStr">
        <is>
          <t>Creditable input VAT (Purchase Register)</t>
        </is>
      </c>
      <c r="C9" s="21">
        <f>SUMIFS('Purchase Register'!$N$4:$N$30,'Purchase Register'!$B$4:$B$30,C$3)</f>
        <v/>
      </c>
      <c r="D9" s="21">
        <f>SUMIFS('Purchase Register'!$N$4:$N$30,'Purchase Register'!$B$4:$B$30,D$3)</f>
        <v/>
      </c>
      <c r="E9" s="21">
        <f>SUMIFS('Purchase Register'!$N$4:$N$30,'Purchase Register'!$B$4:$B$30,E$3)</f>
        <v/>
      </c>
      <c r="F9" s="21">
        <f>SUM(C9:E9)</f>
        <v/>
      </c>
      <c r="G9" s="9" t="inlineStr"/>
    </row>
    <row r="10" ht="33" customHeight="1">
      <c r="A10" s="25" t="inlineStr">
        <is>
          <t>7</t>
        </is>
      </c>
      <c r="B10" s="9" t="inlineStr">
        <is>
          <t>VAT withheld by designated government buyers, claimed as credit (input)</t>
        </is>
      </c>
      <c r="C10" s="14" t="n">
        <v>0</v>
      </c>
      <c r="D10" s="14" t="n">
        <v>0</v>
      </c>
      <c r="E10" s="14" t="n">
        <v>0</v>
      </c>
      <c r="F10" s="21">
        <f>SUM(C10:E10)</f>
        <v/>
      </c>
      <c r="G10" s="9" t="inlineStr"/>
    </row>
    <row r="11">
      <c r="A11" s="25" t="inlineStr">
        <is>
          <t>8</t>
        </is>
      </c>
      <c r="B11" s="9" t="inlineStr">
        <is>
          <t>Credit brought forward</t>
        </is>
      </c>
      <c r="C11" s="14" t="n">
        <v>0</v>
      </c>
      <c r="D11" s="21">
        <f>MAX(0,-(C5+C8-C9-C10-C11))</f>
        <v/>
      </c>
      <c r="E11" s="21">
        <f>MAX(0,-(D5+D8-D9-D10-D11))</f>
        <v/>
      </c>
      <c r="F11" s="21">
        <f>C11</f>
        <v/>
      </c>
      <c r="G11" s="9" t="inlineStr"/>
    </row>
    <row r="12" ht="33" customHeight="1">
      <c r="A12" s="25" t="inlineStr">
        <is>
          <t>9</t>
        </is>
      </c>
      <c r="B12" s="8" t="inlineStr">
        <is>
          <t>Net VAT payable = line 2 + line 5 minus lines 6, 7 and 8 (0 if negative; the credit carries to the next column's line 8)</t>
        </is>
      </c>
      <c r="C12" s="24">
        <f>MAX(0,C5+C8-C9-C10-C11)</f>
        <v/>
      </c>
      <c r="D12" s="24">
        <f>MAX(0,D5+D8-D9-D10-D11)</f>
        <v/>
      </c>
      <c r="E12" s="24">
        <f>MAX(0,E5+E8-E9-E10-E11)</f>
        <v/>
      </c>
      <c r="F12" s="24">
        <f>SUM(C12:E12)</f>
        <v/>
      </c>
      <c r="G12" s="9" t="inlineStr"/>
    </row>
    <row r="13">
      <c r="A13" s="25" t="inlineStr">
        <is>
          <t>10</t>
        </is>
      </c>
      <c r="B13" s="9" t="inlineStr">
        <is>
          <t>Net VAT per return as first prepared or filed (input)</t>
        </is>
      </c>
      <c r="C13" s="14" t="n">
        <v>290000</v>
      </c>
      <c r="D13" s="14" t="n">
        <v>280000</v>
      </c>
      <c r="E13" s="14" t="n">
        <v>270000</v>
      </c>
      <c r="F13" s="21">
        <f>SUM(C13:E13)</f>
        <v/>
      </c>
      <c r="G13" s="9" t="inlineStr"/>
    </row>
    <row r="14" ht="33" customHeight="1">
      <c r="A14" s="25" t="inlineStr">
        <is>
          <t>11</t>
        </is>
      </c>
      <c r="B14" s="8" t="inlineStr">
        <is>
          <t>Difference = line 9 minus line 10</t>
        </is>
      </c>
      <c r="C14" s="24">
        <f>C12-C13</f>
        <v/>
      </c>
      <c r="D14" s="24">
        <f>D12-D13</f>
        <v/>
      </c>
      <c r="E14" s="24">
        <f>E12-E13</f>
        <v/>
      </c>
      <c r="F14" s="24">
        <f>F12-F13</f>
        <v/>
      </c>
      <c r="G14" s="9" t="inlineStr">
        <is>
          <t>Meskerem: invoice 004817 (ETB 300,000) added before filing.</t>
        </is>
      </c>
    </row>
    <row r="15" ht="33" customHeight="1">
      <c r="A15" s="25" t="inlineStr">
        <is>
          <t>12</t>
        </is>
      </c>
      <c r="B15" s="9" t="inlineStr">
        <is>
          <t>Due date</t>
        </is>
      </c>
      <c r="C15" s="19" t="inlineStr">
        <is>
          <t>Last day of Nehase</t>
        </is>
      </c>
      <c r="D15" s="19" t="inlineStr">
        <is>
          <t>Last day of Meskerem</t>
        </is>
      </c>
      <c r="E15" s="19" t="inlineStr">
        <is>
          <t>Last day of Tikimt</t>
        </is>
      </c>
      <c r="F15" s="9" t="inlineStr"/>
      <c r="G15" s="9" t="inlineStr"/>
    </row>
    <row r="16" ht="33" customHeight="1">
      <c r="A16" s="25" t="inlineStr">
        <is>
          <t>13</t>
        </is>
      </c>
      <c r="B16" s="9" t="inlineStr">
        <is>
          <t>Memo (not in the return): non-creditable VAT expensed</t>
        </is>
      </c>
      <c r="C16" s="21">
        <f>SUMIFS('Purchase Register'!$O$4:$O$30,'Purchase Register'!$B$4:$B$30,C$3)</f>
        <v/>
      </c>
      <c r="D16" s="21">
        <f>SUMIFS('Purchase Register'!$O$4:$O$30,'Purchase Register'!$B$4:$B$30,D$3)</f>
        <v/>
      </c>
      <c r="E16" s="21">
        <f>SUMIFS('Purchase Register'!$O$4:$O$30,'Purchase Register'!$B$4:$B$30,E$3)</f>
        <v/>
      </c>
      <c r="F16" s="21">
        <f>SUM(C16:E16)</f>
        <v/>
      </c>
      <c r="G16" s="9" t="inlineStr">
        <is>
          <t>Staff catering and passenger car repair, journaled to expenses.</t>
        </is>
      </c>
    </row>
    <row r="17" ht="33" customHeight="1">
      <c r="A17" s="25" t="inlineStr"/>
      <c r="B17" s="9" t="inlineStr">
        <is>
          <t>Memo (not in the return): pending input VAT, claim when the invoice is held (within 12 months)</t>
        </is>
      </c>
      <c r="C17" s="21">
        <f>SUMIFS('Purchase Register'!$P$4:$P$30,'Purchase Register'!$B$4:$B$30,C$3)</f>
        <v/>
      </c>
      <c r="D17" s="21">
        <f>SUMIFS('Purchase Register'!$P$4:$P$30,'Purchase Register'!$B$4:$B$30,D$3)</f>
        <v/>
      </c>
      <c r="E17" s="21">
        <f>SUMIFS('Purchase Register'!$P$4:$P$30,'Purchase Register'!$B$4:$B$30,E$3)</f>
        <v/>
      </c>
      <c r="F17" s="21">
        <f>SUM(C17:E17)</f>
        <v/>
      </c>
      <c r="G17" s="9" t="inlineStr">
        <is>
          <t>Printing ink invoice awaited.</t>
        </is>
      </c>
    </row>
    <row r="18">
      <c r="A18" s="25" t="inlineStr"/>
      <c r="B18" s="9" t="inlineStr">
        <is>
          <t>Credit carried forward to the next period</t>
        </is>
      </c>
      <c r="C18" s="21">
        <f>MAX(0,-(C5+C8-C9-C10-C11))</f>
        <v/>
      </c>
      <c r="D18" s="21">
        <f>MAX(0,-(D5+D8-D9-D10-D11))</f>
        <v/>
      </c>
      <c r="E18" s="21">
        <f>MAX(0,-(E5+E8-E9-E10-E11))</f>
        <v/>
      </c>
      <c r="F18" s="21">
        <f>E18</f>
        <v/>
      </c>
      <c r="G18" s="9" t="inlineStr"/>
    </row>
  </sheetData>
  <mergeCells count="1">
    <mergeCell ref="A1:G1"/>
  </mergeCells>
  <conditionalFormatting sqref="C14:F14">
    <cfRule type="cellIs" priority="1" operator="notEqual" dxfId="1">
      <formula>0</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K23"/>
  <sheetViews>
    <sheetView showGridLines="0" workbookViewId="0">
      <pane ySplit="8" topLeftCell="A9" activePane="bottomLeft" state="frozen"/>
      <selection pane="bottomLeft" activeCell="A1" sqref="A1"/>
    </sheetView>
  </sheetViews>
  <sheetFormatPr baseColWidth="8" defaultRowHeight="15"/>
  <cols>
    <col width="26" customWidth="1" min="1" max="1"/>
    <col width="16" customWidth="1" min="2" max="2"/>
    <col width="16" customWidth="1" min="3" max="3"/>
    <col width="14" customWidth="1" min="4" max="4"/>
    <col width="28" customWidth="1" min="5" max="5"/>
    <col width="13" customWidth="1" min="6" max="6"/>
    <col width="28" customWidth="1" min="7" max="7"/>
    <col width="13" customWidth="1" min="8" max="8"/>
    <col width="13" customWidth="1" min="9" max="9"/>
    <col width="36" customWidth="1" min="10" max="10"/>
    <col width="16" customWidth="1" min="11" max="11"/>
  </cols>
  <sheetData>
    <row r="1" ht="30" customHeight="1">
      <c r="A1" s="12" t="inlineStr">
        <is>
          <t>VAT to Ledger Recon: agree the quarter's VAT returns to the general ledger and explain every difference with a document or a correcting entry.</t>
        </is>
      </c>
      <c r="B1" s="2" t="n"/>
      <c r="C1" s="2" t="n"/>
      <c r="D1" s="2" t="n"/>
      <c r="E1" s="2" t="n"/>
      <c r="F1" s="2" t="n"/>
      <c r="G1" s="2" t="n"/>
      <c r="H1" s="2" t="n"/>
      <c r="I1" s="2" t="n"/>
      <c r="J1" s="2" t="n"/>
      <c r="K1" s="2" t="n"/>
    </row>
    <row r="2"/>
    <row r="3">
      <c r="A3" s="8" t="inlineStr">
        <is>
          <t>Quarter</t>
        </is>
      </c>
      <c r="B3" s="26" t="inlineStr">
        <is>
          <t>Hamle to Meskerem, FY 2026/27</t>
        </is>
      </c>
    </row>
    <row r="4">
      <c r="A4" s="8" t="inlineStr">
        <is>
          <t>Prepared by</t>
        </is>
      </c>
      <c r="B4" s="26" t="inlineStr">
        <is>
          <t>Meron Tadesse, tax accountant</t>
        </is>
      </c>
    </row>
    <row r="5">
      <c r="A5" s="8" t="inlineStr">
        <is>
          <t>Reviewed by</t>
        </is>
      </c>
      <c r="B5" s="26" t="inlineStr">
        <is>
          <t>Wro. Tigist Alemu, finance manager</t>
        </is>
      </c>
    </row>
    <row r="6">
      <c r="A6" s="8" t="inlineStr">
        <is>
          <t>Date</t>
        </is>
      </c>
      <c r="B6" s="26" t="inlineStr">
        <is>
          <t>Tikimt 20, 2019 E.C.</t>
        </is>
      </c>
    </row>
    <row r="7"/>
    <row r="8" ht="48" customHeight="1">
      <c r="A8" s="6" t="inlineStr">
        <is>
          <t>Line</t>
        </is>
      </c>
      <c r="B8" s="6" t="inlineStr">
        <is>
          <t>Per return workings as first prepared (ETB)</t>
        </is>
      </c>
      <c r="C8" s="6" t="inlineStr">
        <is>
          <t>Per general ledger (ETB)</t>
        </is>
      </c>
      <c r="D8" s="6" t="inlineStr">
        <is>
          <t>Difference (ETB)</t>
        </is>
      </c>
      <c r="E8" s="6" t="inlineStr">
        <is>
          <t>Reconciling item 1</t>
        </is>
      </c>
      <c r="F8" s="6" t="inlineStr">
        <is>
          <t>Amount 1 (ETB)</t>
        </is>
      </c>
      <c r="G8" s="6" t="inlineStr">
        <is>
          <t>Reconciling item 2</t>
        </is>
      </c>
      <c r="H8" s="6" t="inlineStr">
        <is>
          <t>Amount 2 (ETB)</t>
        </is>
      </c>
      <c r="I8" s="6" t="inlineStr">
        <is>
          <t>Unexplained (ETB)</t>
        </is>
      </c>
      <c r="J8" s="6" t="inlineStr">
        <is>
          <t>Action</t>
        </is>
      </c>
      <c r="K8" s="6" t="inlineStr">
        <is>
          <t>Check</t>
        </is>
      </c>
    </row>
    <row r="9" ht="33" customHeight="1">
      <c r="A9" s="8" t="inlineStr">
        <is>
          <t>Taxable sales</t>
        </is>
      </c>
      <c r="B9" s="21">
        <f>'Sales Register'!G38</f>
        <v/>
      </c>
      <c r="C9" s="14" t="n">
        <v>38300000</v>
      </c>
      <c r="D9" s="21">
        <f>C9-B9</f>
        <v/>
      </c>
      <c r="E9" s="18" t="inlineStr">
        <is>
          <t>Invoice 004817 missing from the register as first prepared</t>
        </is>
      </c>
      <c r="F9" s="14" t="n">
        <v>300000</v>
      </c>
      <c r="G9" s="18" t="n"/>
      <c r="H9" s="14" t="n">
        <v>0</v>
      </c>
      <c r="I9" s="24">
        <f>D9-F9-H9</f>
        <v/>
      </c>
      <c r="J9" s="18" t="inlineStr">
        <is>
          <t>Add to Meskerem return before filing</t>
        </is>
      </c>
      <c r="K9" s="22">
        <f>IF(I9&lt;&gt;0,"Explain before filing","OK")</f>
        <v/>
      </c>
    </row>
    <row r="10" ht="33" customHeight="1">
      <c r="A10" s="8" t="inlineStr">
        <is>
          <t>Zero-rated sales</t>
        </is>
      </c>
      <c r="B10" s="21">
        <f>'Sales Register'!G40</f>
        <v/>
      </c>
      <c r="C10" s="14" t="n">
        <v>800000</v>
      </c>
      <c r="D10" s="21">
        <f>C10-B10</f>
        <v/>
      </c>
      <c r="E10" s="18" t="n"/>
      <c r="F10" s="14" t="n">
        <v>0</v>
      </c>
      <c r="G10" s="18" t="n"/>
      <c r="H10" s="14" t="n">
        <v>0</v>
      </c>
      <c r="I10" s="24">
        <f>D10-F10-H10</f>
        <v/>
      </c>
      <c r="J10" s="18" t="inlineStr">
        <is>
          <t>Export declaration and proof of payment on file</t>
        </is>
      </c>
      <c r="K10" s="22">
        <f>IF(I10&lt;&gt;0,"Explain before filing","OK")</f>
        <v/>
      </c>
    </row>
    <row r="11">
      <c r="A11" s="8" t="inlineStr">
        <is>
          <t>Output VAT</t>
        </is>
      </c>
      <c r="B11" s="21">
        <f>'Sales Register'!G39</f>
        <v/>
      </c>
      <c r="C11" s="14" t="n">
        <v>5745000</v>
      </c>
      <c r="D11" s="21">
        <f>C11-B11</f>
        <v/>
      </c>
      <c r="E11" s="18" t="inlineStr">
        <is>
          <t>Invoice 004817</t>
        </is>
      </c>
      <c r="F11" s="14" t="n">
        <v>45000</v>
      </c>
      <c r="G11" s="18" t="n"/>
      <c r="H11" s="14" t="n">
        <v>0</v>
      </c>
      <c r="I11" s="24">
        <f>D11-F11-H11</f>
        <v/>
      </c>
      <c r="J11" s="18" t="inlineStr">
        <is>
          <t>Meskerem net VAT becomes 315,000</t>
        </is>
      </c>
      <c r="K11" s="22">
        <f>IF(I11&lt;&gt;0,"Explain before filing","OK")</f>
        <v/>
      </c>
    </row>
    <row r="12" ht="33" customHeight="1">
      <c r="A12" s="8" t="inlineStr">
        <is>
          <t>Input VAT</t>
        </is>
      </c>
      <c r="B12" s="21">
        <f>'VAT Return Working'!F9</f>
        <v/>
      </c>
      <c r="C12" s="14" t="n">
        <v>4932000</v>
      </c>
      <c r="D12" s="21">
        <f>C12-B12</f>
        <v/>
      </c>
      <c r="E12" s="18" t="inlineStr">
        <is>
          <t>Ink invoice not yet held</t>
        </is>
      </c>
      <c r="F12" s="14" t="n">
        <v>45000</v>
      </c>
      <c r="G12" s="18" t="inlineStr">
        <is>
          <t>Catering and car repair posted to input VAT</t>
        </is>
      </c>
      <c r="H12" s="14" t="n">
        <v>27000</v>
      </c>
      <c r="I12" s="24">
        <f>D12-F12-H12</f>
        <v/>
      </c>
      <c r="J12" s="18" t="inlineStr">
        <is>
          <t>Move 45,000 to Input VAT awaiting invoice; journal 27,000 to expenses</t>
        </is>
      </c>
      <c r="K12" s="22">
        <f>IF(I12&lt;&gt;0,"Explain before filing","OK")</f>
        <v/>
      </c>
    </row>
    <row r="13" ht="33" customHeight="1">
      <c r="A13" s="8" t="inlineStr">
        <is>
          <t>VAT paid for Hamle and for Nehase and Pagume</t>
        </is>
      </c>
      <c r="B13" s="21">
        <f>'VAT Return Working'!C13+'VAT Return Working'!D13</f>
        <v/>
      </c>
      <c r="C13" s="14" t="n">
        <v>570000</v>
      </c>
      <c r="D13" s="21">
        <f>C13-B13</f>
        <v/>
      </c>
      <c r="E13" s="18" t="n"/>
      <c r="F13" s="14" t="n">
        <v>0</v>
      </c>
      <c r="G13" s="18" t="n"/>
      <c r="H13" s="14" t="n">
        <v>0</v>
      </c>
      <c r="I13" s="24">
        <f>D13-F13-H13</f>
        <v/>
      </c>
      <c r="J13" s="18" t="inlineStr">
        <is>
          <t>Payment receipts filed</t>
        </is>
      </c>
      <c r="K13" s="22">
        <f>IF(I13&lt;&gt;0,"Explain before filing","OK")</f>
        <v/>
      </c>
    </row>
    <row r="14"/>
    <row r="15">
      <c r="A15" s="5" t="inlineStr">
        <is>
          <t>Corrections</t>
        </is>
      </c>
    </row>
    <row r="16" ht="20" customHeight="1">
      <c r="A16" s="6" t="inlineStr">
        <is>
          <t>No.</t>
        </is>
      </c>
      <c r="B16" s="6" t="inlineStr">
        <is>
          <t>Correction</t>
        </is>
      </c>
      <c r="C16" s="27" t="n"/>
      <c r="D16" s="28" t="n"/>
      <c r="E16" s="6" t="inlineStr">
        <is>
          <t>Dr</t>
        </is>
      </c>
      <c r="F16" s="6" t="inlineStr">
        <is>
          <t>Cr</t>
        </is>
      </c>
      <c r="G16" s="28" t="n"/>
      <c r="H16" s="6" t="inlineStr">
        <is>
          <t>Amount (ETB)</t>
        </is>
      </c>
    </row>
    <row r="17">
      <c r="A17" s="25" t="n">
        <v>1</v>
      </c>
      <c r="B17" s="18" t="inlineStr">
        <is>
          <t>Reclassify non-creditable VAT on staff meals</t>
        </is>
      </c>
      <c r="E17" s="18" t="inlineStr">
        <is>
          <t>Staff welfare expense</t>
        </is>
      </c>
      <c r="F17" s="18" t="inlineStr">
        <is>
          <t>Input VAT</t>
        </is>
      </c>
      <c r="H17" s="14" t="n">
        <v>18000</v>
      </c>
    </row>
    <row r="18" ht="33" customHeight="1">
      <c r="A18" s="25" t="n">
        <v>2</v>
      </c>
      <c r="B18" s="18" t="inlineStr">
        <is>
          <t>Reclassify non-creditable VAT on passenger car repair</t>
        </is>
      </c>
      <c r="E18" s="18" t="inlineStr">
        <is>
          <t>Vehicle expense</t>
        </is>
      </c>
      <c r="F18" s="18" t="inlineStr">
        <is>
          <t>Input VAT</t>
        </is>
      </c>
      <c r="H18" s="14" t="n">
        <v>9000</v>
      </c>
    </row>
    <row r="19">
      <c r="A19" s="25" t="n">
        <v>3</v>
      </c>
      <c r="B19" s="18" t="inlineStr">
        <is>
          <t>Move VAT on ink invoice awaited</t>
        </is>
      </c>
      <c r="E19" s="18" t="inlineStr">
        <is>
          <t>Input VAT awaiting invoice</t>
        </is>
      </c>
      <c r="F19" s="18" t="inlineStr">
        <is>
          <t>Input VAT</t>
        </is>
      </c>
      <c r="H19" s="14" t="n">
        <v>45000</v>
      </c>
    </row>
    <row r="20" ht="33" customHeight="1">
      <c r="A20" s="25" t="n">
        <v>4</v>
      </c>
      <c r="B20" s="18" t="inlineStr">
        <is>
          <t>Include invoice 004817 in the Meskerem return (output VAT)</t>
        </is>
      </c>
      <c r="E20" s="18" t="inlineStr">
        <is>
          <t>(return correction, no journal)</t>
        </is>
      </c>
      <c r="F20" s="18" t="n"/>
      <c r="H20" s="14" t="n">
        <v>45000</v>
      </c>
    </row>
    <row r="21"/>
    <row r="22" ht="33" customHeight="1">
      <c r="A22" s="8" t="inlineStr">
        <is>
          <t>Corrected ledger input VAT = ledger input VAT minus corrections 1 to 3</t>
        </is>
      </c>
      <c r="B22" s="7" t="n"/>
      <c r="C22" s="24">
        <f>C12-H17-H18-H19</f>
        <v/>
      </c>
      <c r="D22" s="29">
        <f>IF(C22=B12,"Agrees to returns","Check")</f>
        <v/>
      </c>
    </row>
    <row r="23" ht="33" customHeight="1">
      <c r="A23" s="8" t="inlineStr">
        <is>
          <t>Corrected quarter net VAT = ledger output VAT minus corrected input VAT</t>
        </is>
      </c>
      <c r="B23" s="7" t="n"/>
      <c r="C23" s="24">
        <f>C11-C22</f>
        <v/>
      </c>
      <c r="D23" s="29">
        <f>IF(C23='VAT Return Working'!F12,"Agrees to the return working","Check")</f>
        <v/>
      </c>
    </row>
  </sheetData>
  <mergeCells count="19">
    <mergeCell ref="F16:G16"/>
    <mergeCell ref="F19:G19"/>
    <mergeCell ref="B17:D17"/>
    <mergeCell ref="D22:E22"/>
    <mergeCell ref="A1:K1"/>
    <mergeCell ref="B19:D19"/>
    <mergeCell ref="F20:G20"/>
    <mergeCell ref="F18:G18"/>
    <mergeCell ref="B6:D6"/>
    <mergeCell ref="F17:G17"/>
    <mergeCell ref="B20:D20"/>
    <mergeCell ref="B5:D5"/>
    <mergeCell ref="B4:D4"/>
    <mergeCell ref="A23:B23"/>
    <mergeCell ref="A22:B22"/>
    <mergeCell ref="B16:D16"/>
    <mergeCell ref="B3:D3"/>
    <mergeCell ref="D23:E23"/>
    <mergeCell ref="B18:D18"/>
  </mergeCells>
  <conditionalFormatting sqref="I9:I13">
    <cfRule type="cellIs" priority="1" operator="notEqual" dxfId="0">
      <formula>0</formula>
    </cfRule>
  </conditionalFormatting>
  <conditionalFormatting sqref="K9:K13">
    <cfRule type="cellIs" priority="2" operator="equal" dxfId="0">
      <formula>"Explain before filing"</formula>
    </cfRule>
    <cfRule type="cellIs" priority="3" operator="equal" dxfId="2">
      <formula>"OK"</formula>
    </cfRule>
  </conditionalFormatting>
  <conditionalFormatting sqref="D22:D23">
    <cfRule type="cellIs" priority="4" operator="equal" dxfId="0">
      <formula>"Check"</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R38"/>
  <sheetViews>
    <sheetView showGridLines="0" workbookViewId="0">
      <pane xSplit="3" ySplit="3" topLeftCell="D4"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9" customWidth="1" min="4" max="4"/>
    <col width="11" customWidth="1" min="5" max="5"/>
    <col width="10" customWidth="1" min="6" max="6"/>
    <col width="10" customWidth="1" min="7" max="7"/>
    <col width="14" customWidth="1" min="8" max="8"/>
    <col width="14" customWidth="1" min="9" max="9"/>
    <col width="10" customWidth="1" min="10" max="10"/>
    <col width="8" customWidth="1" min="11" max="11"/>
    <col width="12" customWidth="1" min="12" max="12"/>
    <col width="13" customWidth="1" min="13" max="13"/>
    <col width="11" customWidth="1" min="14" max="14"/>
    <col width="14" customWidth="1" min="15" max="15"/>
    <col width="12" customWidth="1" min="16" max="16"/>
    <col width="11" customWidth="1" min="17" max="17"/>
    <col width="13" customWidth="1" min="18" max="18"/>
  </cols>
  <sheetData>
    <row r="1" ht="30" customHeight="1">
      <c r="A1" s="12" t="inlineStr">
        <is>
          <t>Withholding Register: Section A, tax withheld on Kebena's payments (threshold test on the contract value, 30% without TIN); Section B, tax deducted from Kebena by customers.</t>
        </is>
      </c>
      <c r="B1" s="2" t="n"/>
      <c r="C1" s="2" t="n"/>
      <c r="D1" s="2" t="n"/>
      <c r="E1" s="2" t="n"/>
      <c r="F1" s="2" t="n"/>
      <c r="G1" s="2" t="n"/>
      <c r="H1" s="2" t="n"/>
      <c r="I1" s="2" t="n"/>
      <c r="J1" s="2" t="n"/>
      <c r="K1" s="2" t="n"/>
      <c r="L1" s="2" t="n"/>
      <c r="M1" s="2" t="n"/>
      <c r="N1" s="2" t="n"/>
      <c r="O1" s="2" t="n"/>
      <c r="P1" s="2" t="n"/>
      <c r="Q1" s="2" t="n"/>
      <c r="R1" s="2" t="n"/>
    </row>
    <row r="2">
      <c r="A2" s="5" t="inlineStr">
        <is>
          <t>Section A: withholding on payments made by Kebena (amounts before VAT)</t>
        </is>
      </c>
    </row>
    <row r="3" ht="76" customHeight="1">
      <c r="A3" s="6" t="inlineStr">
        <is>
          <t>Date</t>
        </is>
      </c>
      <c r="B3" s="6" t="inlineStr">
        <is>
          <t>Voucher no.</t>
        </is>
      </c>
      <c r="C3" s="6" t="inlineStr">
        <is>
          <t>Supplier</t>
        </is>
      </c>
      <c r="D3" s="6" t="inlineStr">
        <is>
          <t>TIN</t>
        </is>
      </c>
      <c r="E3" s="6" t="inlineStr">
        <is>
          <t>TIN and business license held</t>
        </is>
      </c>
      <c r="F3" s="6" t="inlineStr">
        <is>
          <t>Type</t>
        </is>
      </c>
      <c r="G3" s="6" t="inlineStr">
        <is>
          <t>PO or contract ref</t>
        </is>
      </c>
      <c r="H3" s="6" t="inlineStr">
        <is>
          <t>Contract value before VAT (ETB)</t>
        </is>
      </c>
      <c r="I3" s="6" t="inlineStr">
        <is>
          <t>Payment on this line before VAT (ETB)</t>
        </is>
      </c>
      <c r="J3" s="6" t="inlineStr">
        <is>
          <t>Above threshold?</t>
        </is>
      </c>
      <c r="K3" s="6" t="inlineStr">
        <is>
          <t>Rate</t>
        </is>
      </c>
      <c r="L3" s="6" t="inlineStr">
        <is>
          <t>Tax withheld (ETB)</t>
        </is>
      </c>
      <c r="M3" s="6" t="inlineStr">
        <is>
          <t>Receipt no. issued</t>
        </is>
      </c>
      <c r="N3" s="6" t="inlineStr">
        <is>
          <t>Receipt issued same day</t>
        </is>
      </c>
      <c r="O3" s="6" t="inlineStr">
        <is>
          <t>Amount posted to WHT payable in ledger (ETB)</t>
        </is>
      </c>
      <c r="P3" s="6" t="inlineStr">
        <is>
          <t>Difference (ETB)</t>
        </is>
      </c>
      <c r="Q3" s="6" t="inlineStr">
        <is>
          <t>Remitted in period</t>
        </is>
      </c>
      <c r="R3" s="6" t="inlineStr">
        <is>
          <t>Remittance receipt no.</t>
        </is>
      </c>
    </row>
    <row r="4">
      <c r="A4" s="18" t="inlineStr">
        <is>
          <t>Meskerem 6, 2019 E.C.</t>
        </is>
      </c>
      <c r="B4" s="18" t="inlineStr">
        <is>
          <t>PV-3101</t>
        </is>
      </c>
      <c r="C4" s="18" t="inlineStr">
        <is>
          <t>Dire Kraft Traders PLC</t>
        </is>
      </c>
      <c r="D4" s="18" t="inlineStr">
        <is>
          <t>On file</t>
        </is>
      </c>
      <c r="E4" s="19" t="inlineStr">
        <is>
          <t>Yes</t>
        </is>
      </c>
      <c r="F4" s="19" t="inlineStr">
        <is>
          <t>Goods</t>
        </is>
      </c>
      <c r="G4" s="18" t="inlineStr">
        <is>
          <t>PO-2270</t>
        </is>
      </c>
      <c r="H4" s="14" t="n">
        <v>6400000</v>
      </c>
      <c r="I4" s="14" t="n">
        <v>6400000</v>
      </c>
      <c r="J4" s="22">
        <f>IF(I4="","",IF(F4="Goods",IF(H4&gt;WHT_GOODS_MIN,"Yes","No"),IF(H4&gt;WHT_SERV_MIN,"Yes","No")))</f>
        <v/>
      </c>
      <c r="K4" s="20">
        <f>IF(I4="","",IF(E4="No",WHT_NOTIN,IF(J4="Yes",WHT_RATE,0)))</f>
        <v/>
      </c>
      <c r="L4" s="21">
        <f>IF(I4="","",ROUND(I4*K4,0))</f>
        <v/>
      </c>
      <c r="M4" s="18" t="inlineStr">
        <is>
          <t>WK-0611</t>
        </is>
      </c>
      <c r="N4" s="19" t="inlineStr">
        <is>
          <t>Yes</t>
        </is>
      </c>
      <c r="O4" s="14" t="n">
        <v>192000</v>
      </c>
      <c r="P4" s="21">
        <f>IF(I4="","",L4-O4)</f>
        <v/>
      </c>
      <c r="Q4" s="18" t="inlineStr">
        <is>
          <t>Tikimt</t>
        </is>
      </c>
      <c r="R4" s="18" t="inlineStr">
        <is>
          <t>(placeholder)</t>
        </is>
      </c>
    </row>
    <row r="5" ht="33" customHeight="1">
      <c r="A5" s="18" t="inlineStr">
        <is>
          <t>Meskerem 10, 2019 E.C.</t>
        </is>
      </c>
      <c r="B5" s="18" t="inlineStr">
        <is>
          <t>PV-3108</t>
        </is>
      </c>
      <c r="C5" s="18" t="inlineStr">
        <is>
          <t>Akaki Engineering Services</t>
        </is>
      </c>
      <c r="D5" s="18" t="inlineStr">
        <is>
          <t>On file</t>
        </is>
      </c>
      <c r="E5" s="19" t="inlineStr">
        <is>
          <t>Yes</t>
        </is>
      </c>
      <c r="F5" s="19" t="inlineStr">
        <is>
          <t>Services</t>
        </is>
      </c>
      <c r="G5" s="18" t="inlineStr">
        <is>
          <t>SC-118</t>
        </is>
      </c>
      <c r="H5" s="14" t="n">
        <v>400000</v>
      </c>
      <c r="I5" s="14" t="n">
        <v>400000</v>
      </c>
      <c r="J5" s="22">
        <f>IF(I5="","",IF(F5="Goods",IF(H5&gt;WHT_GOODS_MIN,"Yes","No"),IF(H5&gt;WHT_SERV_MIN,"Yes","No")))</f>
        <v/>
      </c>
      <c r="K5" s="20">
        <f>IF(I5="","",IF(E5="No",WHT_NOTIN,IF(J5="Yes",WHT_RATE,0)))</f>
        <v/>
      </c>
      <c r="L5" s="21">
        <f>IF(I5="","",ROUND(I5*K5,0))</f>
        <v/>
      </c>
      <c r="M5" s="18" t="inlineStr">
        <is>
          <t>WK-0612</t>
        </is>
      </c>
      <c r="N5" s="19" t="inlineStr">
        <is>
          <t>Yes</t>
        </is>
      </c>
      <c r="O5" s="14" t="n">
        <v>12000</v>
      </c>
      <c r="P5" s="21">
        <f>IF(I5="","",L5-O5)</f>
        <v/>
      </c>
      <c r="Q5" s="18" t="inlineStr">
        <is>
          <t>Tikimt</t>
        </is>
      </c>
      <c r="R5" s="18" t="inlineStr">
        <is>
          <t>(placeholder)</t>
        </is>
      </c>
    </row>
    <row r="6" ht="33" customHeight="1">
      <c r="A6" s="18" t="inlineStr">
        <is>
          <t>Meskerem 30, 2019 E.C.</t>
        </is>
      </c>
      <c r="B6" s="18" t="inlineStr">
        <is>
          <t>PV-3140</t>
        </is>
      </c>
      <c r="C6" s="18" t="inlineStr">
        <is>
          <t>Canteen catering contractor</t>
        </is>
      </c>
      <c r="D6" s="18" t="inlineStr">
        <is>
          <t>On file</t>
        </is>
      </c>
      <c r="E6" s="19" t="inlineStr">
        <is>
          <t>Yes</t>
        </is>
      </c>
      <c r="F6" s="19" t="inlineStr">
        <is>
          <t>Services</t>
        </is>
      </c>
      <c r="G6" s="18" t="inlineStr">
        <is>
          <t>SC-102</t>
        </is>
      </c>
      <c r="H6" s="14" t="n">
        <v>120000</v>
      </c>
      <c r="I6" s="14" t="n">
        <v>120000</v>
      </c>
      <c r="J6" s="22">
        <f>IF(I6="","",IF(F6="Goods",IF(H6&gt;WHT_GOODS_MIN,"Yes","No"),IF(H6&gt;WHT_SERV_MIN,"Yes","No")))</f>
        <v/>
      </c>
      <c r="K6" s="20">
        <f>IF(I6="","",IF(E6="No",WHT_NOTIN,IF(J6="Yes",WHT_RATE,0)))</f>
        <v/>
      </c>
      <c r="L6" s="21">
        <f>IF(I6="","",ROUND(I6*K6,0))</f>
        <v/>
      </c>
      <c r="M6" s="18" t="inlineStr">
        <is>
          <t>WK-0618</t>
        </is>
      </c>
      <c r="N6" s="19" t="inlineStr">
        <is>
          <t>Yes</t>
        </is>
      </c>
      <c r="O6" s="14" t="n">
        <v>3600</v>
      </c>
      <c r="P6" s="21">
        <f>IF(I6="","",L6-O6)</f>
        <v/>
      </c>
      <c r="Q6" s="18" t="inlineStr">
        <is>
          <t>Tikimt</t>
        </is>
      </c>
      <c r="R6" s="18" t="inlineStr">
        <is>
          <t>(placeholder)</t>
        </is>
      </c>
    </row>
    <row r="7" ht="33" customHeight="1">
      <c r="A7" s="18" t="inlineStr">
        <is>
          <t>Meskerem 16, 2019 E.C.</t>
        </is>
      </c>
      <c r="B7" s="18" t="inlineStr">
        <is>
          <t>PV-3117</t>
        </is>
      </c>
      <c r="C7" s="18" t="inlineStr">
        <is>
          <t>Garage</t>
        </is>
      </c>
      <c r="D7" s="18" t="inlineStr">
        <is>
          <t>On file</t>
        </is>
      </c>
      <c r="E7" s="19" t="inlineStr">
        <is>
          <t>Yes</t>
        </is>
      </c>
      <c r="F7" s="19" t="inlineStr">
        <is>
          <t>Services</t>
        </is>
      </c>
      <c r="G7" s="18" t="inlineStr">
        <is>
          <t>WO-77</t>
        </is>
      </c>
      <c r="H7" s="14" t="n">
        <v>60000</v>
      </c>
      <c r="I7" s="14" t="n">
        <v>60000</v>
      </c>
      <c r="J7" s="22">
        <f>IF(I7="","",IF(F7="Goods",IF(H7&gt;WHT_GOODS_MIN,"Yes","No"),IF(H7&gt;WHT_SERV_MIN,"Yes","No")))</f>
        <v/>
      </c>
      <c r="K7" s="20">
        <f>IF(I7="","",IF(E7="No",WHT_NOTIN,IF(J7="Yes",WHT_RATE,0)))</f>
        <v/>
      </c>
      <c r="L7" s="21">
        <f>IF(I7="","",ROUND(I7*K7,0))</f>
        <v/>
      </c>
      <c r="M7" s="18" t="inlineStr">
        <is>
          <t>WK-0614</t>
        </is>
      </c>
      <c r="N7" s="19" t="inlineStr">
        <is>
          <t>Yes</t>
        </is>
      </c>
      <c r="O7" s="14" t="n">
        <v>1800</v>
      </c>
      <c r="P7" s="21">
        <f>IF(I7="","",L7-O7)</f>
        <v/>
      </c>
      <c r="Q7" s="18" t="inlineStr">
        <is>
          <t>Tikimt</t>
        </is>
      </c>
      <c r="R7" s="18" t="inlineStr">
        <is>
          <t>(placeholder)</t>
        </is>
      </c>
    </row>
    <row r="8" ht="33" customHeight="1">
      <c r="A8" s="18" t="inlineStr">
        <is>
          <t>Meskerem 19, 2019 E.C.</t>
        </is>
      </c>
      <c r="B8" s="18" t="inlineStr">
        <is>
          <t>PV-3121</t>
        </is>
      </c>
      <c r="C8" s="18" t="inlineStr">
        <is>
          <t>Pallet workshop, invoice A</t>
        </is>
      </c>
      <c r="D8" s="18" t="inlineStr">
        <is>
          <t>On file</t>
        </is>
      </c>
      <c r="E8" s="19" t="inlineStr">
        <is>
          <t>Yes</t>
        </is>
      </c>
      <c r="F8" s="19" t="inlineStr">
        <is>
          <t>Goods</t>
        </is>
      </c>
      <c r="G8" s="18" t="inlineStr">
        <is>
          <t>PO-2291</t>
        </is>
      </c>
      <c r="H8" s="14" t="n">
        <v>26000</v>
      </c>
      <c r="I8" s="14" t="n">
        <v>12000</v>
      </c>
      <c r="J8" s="22">
        <f>IF(I8="","",IF(F8="Goods",IF(H8&gt;WHT_GOODS_MIN,"Yes","No"),IF(H8&gt;WHT_SERV_MIN,"Yes","No")))</f>
        <v/>
      </c>
      <c r="K8" s="20">
        <f>IF(I8="","",IF(E8="No",WHT_NOTIN,IF(J8="Yes",WHT_RATE,0)))</f>
        <v/>
      </c>
      <c r="L8" s="21">
        <f>IF(I8="","",ROUND(I8*K8,0))</f>
        <v/>
      </c>
      <c r="M8" s="18" t="n"/>
      <c r="N8" s="19" t="inlineStr">
        <is>
          <t>No</t>
        </is>
      </c>
      <c r="O8" s="14" t="n">
        <v>0</v>
      </c>
      <c r="P8" s="21">
        <f>IF(I8="","",L8-O8)</f>
        <v/>
      </c>
      <c r="Q8" s="18" t="inlineStr">
        <is>
          <t>Tikimt</t>
        </is>
      </c>
      <c r="R8" s="18" t="n"/>
    </row>
    <row r="9" ht="33" customHeight="1">
      <c r="A9" s="18" t="inlineStr">
        <is>
          <t>Meskerem 20, 2019 E.C.</t>
        </is>
      </c>
      <c r="B9" s="18" t="inlineStr">
        <is>
          <t>PV-3124</t>
        </is>
      </c>
      <c r="C9" s="18" t="inlineStr">
        <is>
          <t>Pallet workshop, invoice B</t>
        </is>
      </c>
      <c r="D9" s="18" t="inlineStr">
        <is>
          <t>On file</t>
        </is>
      </c>
      <c r="E9" s="19" t="inlineStr">
        <is>
          <t>Yes</t>
        </is>
      </c>
      <c r="F9" s="19" t="inlineStr">
        <is>
          <t>Goods</t>
        </is>
      </c>
      <c r="G9" s="18" t="inlineStr">
        <is>
          <t>PO-2291</t>
        </is>
      </c>
      <c r="H9" s="14" t="n">
        <v>26000</v>
      </c>
      <c r="I9" s="14" t="n">
        <v>14000</v>
      </c>
      <c r="J9" s="22">
        <f>IF(I9="","",IF(F9="Goods",IF(H9&gt;WHT_GOODS_MIN,"Yes","No"),IF(H9&gt;WHT_SERV_MIN,"Yes","No")))</f>
        <v/>
      </c>
      <c r="K9" s="20">
        <f>IF(I9="","",IF(E9="No",WHT_NOTIN,IF(J9="Yes",WHT_RATE,0)))</f>
        <v/>
      </c>
      <c r="L9" s="21">
        <f>IF(I9="","",ROUND(I9*K9,0))</f>
        <v/>
      </c>
      <c r="M9" s="18" t="n"/>
      <c r="N9" s="19" t="inlineStr">
        <is>
          <t>No</t>
        </is>
      </c>
      <c r="O9" s="14" t="n">
        <v>0</v>
      </c>
      <c r="P9" s="21">
        <f>IF(I9="","",L9-O9)</f>
        <v/>
      </c>
      <c r="Q9" s="18" t="inlineStr">
        <is>
          <t>Tikimt</t>
        </is>
      </c>
      <c r="R9" s="18" t="n"/>
    </row>
    <row r="10" ht="33" customHeight="1">
      <c r="A10" s="18" t="inlineStr">
        <is>
          <t>Meskerem 27, 2019 E.C.</t>
        </is>
      </c>
      <c r="B10" s="18" t="inlineStr">
        <is>
          <t>PV-3133</t>
        </is>
      </c>
      <c r="C10" s="18" t="inlineStr">
        <is>
          <t>Ato Kiros Hailu, electrician</t>
        </is>
      </c>
      <c r="D10" s="18" t="inlineStr">
        <is>
          <t>None</t>
        </is>
      </c>
      <c r="E10" s="19" t="inlineStr">
        <is>
          <t>No</t>
        </is>
      </c>
      <c r="F10" s="19" t="inlineStr">
        <is>
          <t>Services</t>
        </is>
      </c>
      <c r="G10" s="18" t="inlineStr">
        <is>
          <t>SC-131</t>
        </is>
      </c>
      <c r="H10" s="14" t="n">
        <v>25000</v>
      </c>
      <c r="I10" s="14" t="n">
        <v>25000</v>
      </c>
      <c r="J10" s="22">
        <f>IF(I10="","",IF(F10="Goods",IF(H10&gt;WHT_GOODS_MIN,"Yes","No"),IF(H10&gt;WHT_SERV_MIN,"Yes","No")))</f>
        <v/>
      </c>
      <c r="K10" s="20">
        <f>IF(I10="","",IF(E10="No",WHT_NOTIN,IF(J10="Yes",WHT_RATE,0)))</f>
        <v/>
      </c>
      <c r="L10" s="21">
        <f>IF(I10="","",ROUND(I10*K10,0))</f>
        <v/>
      </c>
      <c r="M10" s="18" t="inlineStr">
        <is>
          <t>WK-0617</t>
        </is>
      </c>
      <c r="N10" s="19" t="inlineStr">
        <is>
          <t>Yes</t>
        </is>
      </c>
      <c r="O10" s="14" t="n">
        <v>750</v>
      </c>
      <c r="P10" s="21">
        <f>IF(I10="","",L10-O10)</f>
        <v/>
      </c>
      <c r="Q10" s="18" t="inlineStr">
        <is>
          <t>Tikimt</t>
        </is>
      </c>
      <c r="R10" s="18" t="inlineStr">
        <is>
          <t>(placeholder)</t>
        </is>
      </c>
    </row>
    <row r="11" ht="33" customHeight="1">
      <c r="A11" s="18" t="inlineStr">
        <is>
          <t>Meskerem 21, 2019 E.C.</t>
        </is>
      </c>
      <c r="B11" s="18" t="inlineStr">
        <is>
          <t>PV-3126</t>
        </is>
      </c>
      <c r="C11" s="18" t="inlineStr">
        <is>
          <t>Stationery shop</t>
        </is>
      </c>
      <c r="D11" s="18" t="inlineStr">
        <is>
          <t>On file</t>
        </is>
      </c>
      <c r="E11" s="19" t="inlineStr">
        <is>
          <t>Yes</t>
        </is>
      </c>
      <c r="F11" s="19" t="inlineStr">
        <is>
          <t>Goods</t>
        </is>
      </c>
      <c r="G11" s="18" t="inlineStr">
        <is>
          <t>PO-2296</t>
        </is>
      </c>
      <c r="H11" s="14" t="n">
        <v>18000</v>
      </c>
      <c r="I11" s="14" t="n">
        <v>18000</v>
      </c>
      <c r="J11" s="22">
        <f>IF(I11="","",IF(F11="Goods",IF(H11&gt;WHT_GOODS_MIN,"Yes","No"),IF(H11&gt;WHT_SERV_MIN,"Yes","No")))</f>
        <v/>
      </c>
      <c r="K11" s="20">
        <f>IF(I11="","",IF(E11="No",WHT_NOTIN,IF(J11="Yes",WHT_RATE,0)))</f>
        <v/>
      </c>
      <c r="L11" s="21">
        <f>IF(I11="","",ROUND(I11*K11,0))</f>
        <v/>
      </c>
      <c r="M11" s="18" t="n"/>
      <c r="N11" s="19" t="n"/>
      <c r="O11" s="14" t="n">
        <v>0</v>
      </c>
      <c r="P11" s="21">
        <f>IF(I11="","",L11-O11)</f>
        <v/>
      </c>
      <c r="Q11" s="18" t="n"/>
      <c r="R11" s="18" t="n"/>
    </row>
    <row r="12">
      <c r="A12" s="18" t="n"/>
      <c r="B12" s="18" t="n"/>
      <c r="C12" s="18" t="n"/>
      <c r="D12" s="18" t="n"/>
      <c r="E12" s="19" t="n"/>
      <c r="F12" s="19" t="n"/>
      <c r="G12" s="18" t="n"/>
      <c r="H12" s="14" t="n"/>
      <c r="I12" s="14" t="n"/>
      <c r="J12" s="22">
        <f>IF(I12="","",IF(F12="Goods",IF(H12&gt;WHT_GOODS_MIN,"Yes","No"),IF(H12&gt;WHT_SERV_MIN,"Yes","No")))</f>
        <v/>
      </c>
      <c r="K12" s="20">
        <f>IF(I12="","",IF(E12="No",WHT_NOTIN,IF(J12="Yes",WHT_RATE,0)))</f>
        <v/>
      </c>
      <c r="L12" s="21">
        <f>IF(I12="","",ROUND(I12*K12,0))</f>
        <v/>
      </c>
      <c r="M12" s="18" t="n"/>
      <c r="N12" s="19" t="n"/>
      <c r="O12" s="14" t="n"/>
      <c r="P12" s="21">
        <f>IF(I12="","",L12-O12)</f>
        <v/>
      </c>
      <c r="Q12" s="18" t="n"/>
      <c r="R12" s="18" t="n"/>
    </row>
    <row r="13">
      <c r="A13" s="18" t="n"/>
      <c r="B13" s="18" t="n"/>
      <c r="C13" s="18" t="n"/>
      <c r="D13" s="18" t="n"/>
      <c r="E13" s="19" t="n"/>
      <c r="F13" s="19" t="n"/>
      <c r="G13" s="18" t="n"/>
      <c r="H13" s="14" t="n"/>
      <c r="I13" s="14" t="n"/>
      <c r="J13" s="22">
        <f>IF(I13="","",IF(F13="Goods",IF(H13&gt;WHT_GOODS_MIN,"Yes","No"),IF(H13&gt;WHT_SERV_MIN,"Yes","No")))</f>
        <v/>
      </c>
      <c r="K13" s="20">
        <f>IF(I13="","",IF(E13="No",WHT_NOTIN,IF(J13="Yes",WHT_RATE,0)))</f>
        <v/>
      </c>
      <c r="L13" s="21">
        <f>IF(I13="","",ROUND(I13*K13,0))</f>
        <v/>
      </c>
      <c r="M13" s="18" t="n"/>
      <c r="N13" s="19" t="n"/>
      <c r="O13" s="14" t="n"/>
      <c r="P13" s="21">
        <f>IF(I13="","",L13-O13)</f>
        <v/>
      </c>
      <c r="Q13" s="18" t="n"/>
      <c r="R13" s="18" t="n"/>
    </row>
    <row r="14">
      <c r="A14" s="18" t="n"/>
      <c r="B14" s="18" t="n"/>
      <c r="C14" s="18" t="n"/>
      <c r="D14" s="18" t="n"/>
      <c r="E14" s="19" t="n"/>
      <c r="F14" s="19" t="n"/>
      <c r="G14" s="18" t="n"/>
      <c r="H14" s="14" t="n"/>
      <c r="I14" s="14" t="n"/>
      <c r="J14" s="22">
        <f>IF(I14="","",IF(F14="Goods",IF(H14&gt;WHT_GOODS_MIN,"Yes","No"),IF(H14&gt;WHT_SERV_MIN,"Yes","No")))</f>
        <v/>
      </c>
      <c r="K14" s="20">
        <f>IF(I14="","",IF(E14="No",WHT_NOTIN,IF(J14="Yes",WHT_RATE,0)))</f>
        <v/>
      </c>
      <c r="L14" s="21">
        <f>IF(I14="","",ROUND(I14*K14,0))</f>
        <v/>
      </c>
      <c r="M14" s="18" t="n"/>
      <c r="N14" s="19" t="n"/>
      <c r="O14" s="14" t="n"/>
      <c r="P14" s="21">
        <f>IF(I14="","",L14-O14)</f>
        <v/>
      </c>
      <c r="Q14" s="18" t="n"/>
      <c r="R14" s="18" t="n"/>
    </row>
    <row r="15">
      <c r="A15" s="18" t="n"/>
      <c r="B15" s="18" t="n"/>
      <c r="C15" s="18" t="n"/>
      <c r="D15" s="18" t="n"/>
      <c r="E15" s="19" t="n"/>
      <c r="F15" s="19" t="n"/>
      <c r="G15" s="18" t="n"/>
      <c r="H15" s="14" t="n"/>
      <c r="I15" s="14" t="n"/>
      <c r="J15" s="22">
        <f>IF(I15="","",IF(F15="Goods",IF(H15&gt;WHT_GOODS_MIN,"Yes","No"),IF(H15&gt;WHT_SERV_MIN,"Yes","No")))</f>
        <v/>
      </c>
      <c r="K15" s="20">
        <f>IF(I15="","",IF(E15="No",WHT_NOTIN,IF(J15="Yes",WHT_RATE,0)))</f>
        <v/>
      </c>
      <c r="L15" s="21">
        <f>IF(I15="","",ROUND(I15*K15,0))</f>
        <v/>
      </c>
      <c r="M15" s="18" t="n"/>
      <c r="N15" s="19" t="n"/>
      <c r="O15" s="14" t="n"/>
      <c r="P15" s="21">
        <f>IF(I15="","",L15-O15)</f>
        <v/>
      </c>
      <c r="Q15" s="18" t="n"/>
      <c r="R15" s="18" t="n"/>
    </row>
    <row r="16">
      <c r="A16" s="18" t="n"/>
      <c r="B16" s="18" t="n"/>
      <c r="C16" s="18" t="n"/>
      <c r="D16" s="18" t="n"/>
      <c r="E16" s="19" t="n"/>
      <c r="F16" s="19" t="n"/>
      <c r="G16" s="18" t="n"/>
      <c r="H16" s="14" t="n"/>
      <c r="I16" s="14" t="n"/>
      <c r="J16" s="22">
        <f>IF(I16="","",IF(F16="Goods",IF(H16&gt;WHT_GOODS_MIN,"Yes","No"),IF(H16&gt;WHT_SERV_MIN,"Yes","No")))</f>
        <v/>
      </c>
      <c r="K16" s="20">
        <f>IF(I16="","",IF(E16="No",WHT_NOTIN,IF(J16="Yes",WHT_RATE,0)))</f>
        <v/>
      </c>
      <c r="L16" s="21">
        <f>IF(I16="","",ROUND(I16*K16,0))</f>
        <v/>
      </c>
      <c r="M16" s="18" t="n"/>
      <c r="N16" s="19" t="n"/>
      <c r="O16" s="14" t="n"/>
      <c r="P16" s="21">
        <f>IF(I16="","",L16-O16)</f>
        <v/>
      </c>
      <c r="Q16" s="18" t="n"/>
      <c r="R16" s="18" t="n"/>
    </row>
    <row r="17">
      <c r="A17" s="18" t="n"/>
      <c r="B17" s="18" t="n"/>
      <c r="C17" s="18" t="n"/>
      <c r="D17" s="18" t="n"/>
      <c r="E17" s="19" t="n"/>
      <c r="F17" s="19" t="n"/>
      <c r="G17" s="18" t="n"/>
      <c r="H17" s="14" t="n"/>
      <c r="I17" s="14" t="n"/>
      <c r="J17" s="22">
        <f>IF(I17="","",IF(F17="Goods",IF(H17&gt;WHT_GOODS_MIN,"Yes","No"),IF(H17&gt;WHT_SERV_MIN,"Yes","No")))</f>
        <v/>
      </c>
      <c r="K17" s="20">
        <f>IF(I17="","",IF(E17="No",WHT_NOTIN,IF(J17="Yes",WHT_RATE,0)))</f>
        <v/>
      </c>
      <c r="L17" s="21">
        <f>IF(I17="","",ROUND(I17*K17,0))</f>
        <v/>
      </c>
      <c r="M17" s="18" t="n"/>
      <c r="N17" s="19" t="n"/>
      <c r="O17" s="14" t="n"/>
      <c r="P17" s="21">
        <f>IF(I17="","",L17-O17)</f>
        <v/>
      </c>
      <c r="Q17" s="18" t="n"/>
      <c r="R17" s="18" t="n"/>
    </row>
    <row r="18">
      <c r="A18" s="18" t="n"/>
      <c r="B18" s="18" t="n"/>
      <c r="C18" s="18" t="n"/>
      <c r="D18" s="18" t="n"/>
      <c r="E18" s="19" t="n"/>
      <c r="F18" s="19" t="n"/>
      <c r="G18" s="18" t="n"/>
      <c r="H18" s="14" t="n"/>
      <c r="I18" s="14" t="n"/>
      <c r="J18" s="22">
        <f>IF(I18="","",IF(F18="Goods",IF(H18&gt;WHT_GOODS_MIN,"Yes","No"),IF(H18&gt;WHT_SERV_MIN,"Yes","No")))</f>
        <v/>
      </c>
      <c r="K18" s="20">
        <f>IF(I18="","",IF(E18="No",WHT_NOTIN,IF(J18="Yes",WHT_RATE,0)))</f>
        <v/>
      </c>
      <c r="L18" s="21">
        <f>IF(I18="","",ROUND(I18*K18,0))</f>
        <v/>
      </c>
      <c r="M18" s="18" t="n"/>
      <c r="N18" s="19" t="n"/>
      <c r="O18" s="14" t="n"/>
      <c r="P18" s="21">
        <f>IF(I18="","",L18-O18)</f>
        <v/>
      </c>
      <c r="Q18" s="18" t="n"/>
      <c r="R18" s="18" t="n"/>
    </row>
    <row r="19">
      <c r="A19" s="18" t="n"/>
      <c r="B19" s="18" t="n"/>
      <c r="C19" s="18" t="n"/>
      <c r="D19" s="18" t="n"/>
      <c r="E19" s="19" t="n"/>
      <c r="F19" s="19" t="n"/>
      <c r="G19" s="18" t="n"/>
      <c r="H19" s="14" t="n"/>
      <c r="I19" s="14" t="n"/>
      <c r="J19" s="22">
        <f>IF(I19="","",IF(F19="Goods",IF(H19&gt;WHT_GOODS_MIN,"Yes","No"),IF(H19&gt;WHT_SERV_MIN,"Yes","No")))</f>
        <v/>
      </c>
      <c r="K19" s="20">
        <f>IF(I19="","",IF(E19="No",WHT_NOTIN,IF(J19="Yes",WHT_RATE,0)))</f>
        <v/>
      </c>
      <c r="L19" s="21">
        <f>IF(I19="","",ROUND(I19*K19,0))</f>
        <v/>
      </c>
      <c r="M19" s="18" t="n"/>
      <c r="N19" s="19" t="n"/>
      <c r="O19" s="14" t="n"/>
      <c r="P19" s="21">
        <f>IF(I19="","",L19-O19)</f>
        <v/>
      </c>
      <c r="Q19" s="18" t="n"/>
      <c r="R19" s="18" t="n"/>
    </row>
    <row r="20">
      <c r="A20" s="30" t="inlineStr">
        <is>
          <t>Total, Section A</t>
        </is>
      </c>
      <c r="B20" s="31" t="n"/>
      <c r="C20" s="31" t="n"/>
      <c r="D20" s="31" t="n"/>
      <c r="E20" s="31" t="n"/>
      <c r="F20" s="31" t="n"/>
      <c r="G20" s="31" t="n"/>
      <c r="H20" s="31" t="n"/>
      <c r="I20" s="32">
        <f>SUM(I4:I19)</f>
        <v/>
      </c>
      <c r="J20" s="31" t="n"/>
      <c r="K20" s="31" t="n"/>
      <c r="L20" s="32">
        <f>SUM(L4:L19)</f>
        <v/>
      </c>
      <c r="M20" s="31" t="n"/>
      <c r="N20" s="31" t="n"/>
      <c r="O20" s="32">
        <f>SUM(O4:O19)</f>
        <v/>
      </c>
      <c r="P20" s="32">
        <f>SUM(P4:P19)</f>
        <v/>
      </c>
      <c r="Q20" s="31" t="n"/>
      <c r="R20" s="31" t="n"/>
    </row>
    <row r="21">
      <c r="A21" s="16" t="inlineStr">
        <is>
          <t>The threshold test uses the contract or purchase order value (column H), so one order split into small invoices is still above the threshold. The ledger column shows the uncorrected draft so you can practice the reconciliation.</t>
        </is>
      </c>
    </row>
    <row r="22"/>
    <row r="23">
      <c r="A23" s="5" t="inlineStr">
        <is>
          <t>Section B: withholding deducted from Kebena by customers (credits)</t>
        </is>
      </c>
    </row>
    <row r="24" ht="48" customHeight="1">
      <c r="A24" s="6" t="inlineStr">
        <is>
          <t>Date paid</t>
        </is>
      </c>
      <c r="B24" s="28" t="n"/>
      <c r="C24" s="6" t="inlineStr">
        <is>
          <t>Customer</t>
        </is>
      </c>
      <c r="D24" s="6" t="inlineStr">
        <is>
          <t>Customer TIN</t>
        </is>
      </c>
      <c r="E24" s="6" t="inlineStr">
        <is>
          <t>Invoice no.</t>
        </is>
      </c>
      <c r="F24" s="6" t="inlineStr">
        <is>
          <t>Amount before VAT (ETB)</t>
        </is>
      </c>
      <c r="G24" s="27" t="n"/>
      <c r="H24" s="28" t="n"/>
      <c r="I24" s="6" t="inlineStr">
        <is>
          <t>WHT deducted 3% (ETB)</t>
        </is>
      </c>
      <c r="J24" s="28" t="n"/>
      <c r="K24" s="6" t="inlineStr">
        <is>
          <t>Receipt no.</t>
        </is>
      </c>
      <c r="L24" s="28" t="n"/>
      <c r="M24" s="6" t="inlineStr">
        <is>
          <t>Status</t>
        </is>
      </c>
      <c r="N24" s="28" t="n"/>
      <c r="O24" s="6" t="inlineStr">
        <is>
          <t>Date requested</t>
        </is>
      </c>
      <c r="P24" s="28" t="n"/>
      <c r="Q24" s="6" t="inlineStr">
        <is>
          <t>Follow-up date</t>
        </is>
      </c>
      <c r="R24" s="28" t="n"/>
    </row>
    <row r="25">
      <c r="A25" s="18" t="inlineStr">
        <is>
          <t>Meskerem 18, 2019 E.C.</t>
        </is>
      </c>
      <c r="B25" s="33" t="n"/>
      <c r="C25" s="18" t="inlineStr">
        <is>
          <t>Adama Juice Factory PLC</t>
        </is>
      </c>
      <c r="D25" s="18" t="inlineStr">
        <is>
          <t>On file</t>
        </is>
      </c>
      <c r="E25" s="23" t="n">
        <v>4812</v>
      </c>
      <c r="F25" s="14" t="n">
        <v>3600000</v>
      </c>
      <c r="G25" s="34" t="n"/>
      <c r="H25" s="33" t="n"/>
      <c r="I25" s="14">
        <f>ROUND(F25*WHT_RATE,0)</f>
        <v/>
      </c>
      <c r="J25" s="33" t="n"/>
      <c r="K25" s="18" t="inlineStr">
        <is>
          <t>WR-AJ-0917</t>
        </is>
      </c>
      <c r="L25" s="33" t="n"/>
      <c r="M25" s="22">
        <f>IF(F25="","",IF(K25="","Missing: chase","Held"))</f>
        <v/>
      </c>
      <c r="N25" s="28" t="n"/>
      <c r="O25" s="18" t="n"/>
      <c r="P25" s="33" t="n"/>
      <c r="Q25" s="18" t="n"/>
      <c r="R25" s="33" t="n"/>
    </row>
    <row r="26">
      <c r="A26" s="18" t="inlineStr">
        <is>
          <t>Meskerem 24, 2019 E.C.</t>
        </is>
      </c>
      <c r="B26" s="33" t="n"/>
      <c r="C26" s="18" t="inlineStr">
        <is>
          <t>Bishoftu Dairy PLC</t>
        </is>
      </c>
      <c r="D26" s="18" t="inlineStr">
        <is>
          <t>On file</t>
        </is>
      </c>
      <c r="E26" s="23" t="n">
        <v>4813</v>
      </c>
      <c r="F26" s="14" t="n">
        <v>2900000</v>
      </c>
      <c r="G26" s="34" t="n"/>
      <c r="H26" s="33" t="n"/>
      <c r="I26" s="14">
        <f>ROUND(F26*WHT_RATE,0)</f>
        <v/>
      </c>
      <c r="J26" s="33" t="n"/>
      <c r="K26" s="18" t="n"/>
      <c r="L26" s="33" t="n"/>
      <c r="M26" s="22">
        <f>IF(F26="","",IF(K26="","Missing: chase","Held"))</f>
        <v/>
      </c>
      <c r="N26" s="28" t="n"/>
      <c r="O26" s="18" t="inlineStr">
        <is>
          <t>Meskerem 26, 2019 E.C.</t>
        </is>
      </c>
      <c r="P26" s="33" t="n"/>
      <c r="Q26" s="18" t="inlineStr">
        <is>
          <t>Tikimt 5, 2019 E.C.</t>
        </is>
      </c>
      <c r="R26" s="33" t="n"/>
    </row>
    <row r="27">
      <c r="A27" s="18" t="inlineStr">
        <is>
          <t>Meskerem 28, 2019 E.C.</t>
        </is>
      </c>
      <c r="B27" s="33" t="n"/>
      <c r="C27" s="18" t="inlineStr">
        <is>
          <t>Sidama Coffee Roasters PLC</t>
        </is>
      </c>
      <c r="D27" s="18" t="inlineStr">
        <is>
          <t>On file</t>
        </is>
      </c>
      <c r="E27" s="23" t="n">
        <v>4814</v>
      </c>
      <c r="F27" s="14" t="n">
        <v>2400000</v>
      </c>
      <c r="G27" s="34" t="n"/>
      <c r="H27" s="33" t="n"/>
      <c r="I27" s="14">
        <f>ROUND(F27*WHT_RATE,0)</f>
        <v/>
      </c>
      <c r="J27" s="33" t="n"/>
      <c r="K27" s="18" t="inlineStr">
        <is>
          <t>WR-SC-0233</t>
        </is>
      </c>
      <c r="L27" s="33" t="n"/>
      <c r="M27" s="22">
        <f>IF(F27="","",IF(K27="","Missing: chase","Held"))</f>
        <v/>
      </c>
      <c r="N27" s="28" t="n"/>
      <c r="O27" s="18" t="n"/>
      <c r="P27" s="33" t="n"/>
      <c r="Q27" s="18" t="n"/>
      <c r="R27" s="33" t="n"/>
    </row>
    <row r="28">
      <c r="A28" s="18" t="n"/>
      <c r="B28" s="33" t="n"/>
      <c r="C28" s="18" t="n"/>
      <c r="D28" s="18" t="n"/>
      <c r="E28" s="19" t="n"/>
      <c r="F28" s="14" t="n"/>
      <c r="G28" s="34" t="n"/>
      <c r="H28" s="33" t="n"/>
      <c r="I28" s="14" t="n"/>
      <c r="J28" s="33" t="n"/>
      <c r="K28" s="18" t="n"/>
      <c r="L28" s="33" t="n"/>
      <c r="M28" s="22">
        <f>IF(F28="","",IF(K28="","Missing: chase","Held"))</f>
        <v/>
      </c>
      <c r="N28" s="28" t="n"/>
      <c r="O28" s="18" t="n"/>
      <c r="P28" s="33" t="n"/>
      <c r="Q28" s="18" t="n"/>
      <c r="R28" s="33" t="n"/>
    </row>
    <row r="29">
      <c r="A29" s="18" t="n"/>
      <c r="B29" s="33" t="n"/>
      <c r="C29" s="18" t="n"/>
      <c r="D29" s="18" t="n"/>
      <c r="E29" s="19" t="n"/>
      <c r="F29" s="14" t="n"/>
      <c r="G29" s="34" t="n"/>
      <c r="H29" s="33" t="n"/>
      <c r="I29" s="14" t="n"/>
      <c r="J29" s="33" t="n"/>
      <c r="K29" s="18" t="n"/>
      <c r="L29" s="33" t="n"/>
      <c r="M29" s="22">
        <f>IF(F29="","",IF(K29="","Missing: chase","Held"))</f>
        <v/>
      </c>
      <c r="N29" s="28" t="n"/>
      <c r="O29" s="18" t="n"/>
      <c r="P29" s="33" t="n"/>
      <c r="Q29" s="18" t="n"/>
      <c r="R29" s="33" t="n"/>
    </row>
    <row r="30">
      <c r="A30" s="18" t="n"/>
      <c r="B30" s="33" t="n"/>
      <c r="C30" s="18" t="n"/>
      <c r="D30" s="18" t="n"/>
      <c r="E30" s="19" t="n"/>
      <c r="F30" s="14" t="n"/>
      <c r="G30" s="34" t="n"/>
      <c r="H30" s="33" t="n"/>
      <c r="I30" s="14" t="n"/>
      <c r="J30" s="33" t="n"/>
      <c r="K30" s="18" t="n"/>
      <c r="L30" s="33" t="n"/>
      <c r="M30" s="22">
        <f>IF(F30="","",IF(K30="","Missing: chase","Held"))</f>
        <v/>
      </c>
      <c r="N30" s="28" t="n"/>
      <c r="O30" s="18" t="n"/>
      <c r="P30" s="33" t="n"/>
      <c r="Q30" s="18" t="n"/>
      <c r="R30" s="33" t="n"/>
    </row>
    <row r="31">
      <c r="A31" s="18" t="n"/>
      <c r="B31" s="33" t="n"/>
      <c r="C31" s="18" t="n"/>
      <c r="D31" s="18" t="n"/>
      <c r="E31" s="19" t="n"/>
      <c r="F31" s="14" t="n"/>
      <c r="G31" s="34" t="n"/>
      <c r="H31" s="33" t="n"/>
      <c r="I31" s="14" t="n"/>
      <c r="J31" s="33" t="n"/>
      <c r="K31" s="18" t="n"/>
      <c r="L31" s="33" t="n"/>
      <c r="M31" s="22">
        <f>IF(F31="","",IF(K31="","Missing: chase","Held"))</f>
        <v/>
      </c>
      <c r="N31" s="28" t="n"/>
      <c r="O31" s="18" t="n"/>
      <c r="P31" s="33" t="n"/>
      <c r="Q31" s="18" t="n"/>
      <c r="R31" s="33" t="n"/>
    </row>
    <row r="32">
      <c r="A32" s="18" t="n"/>
      <c r="B32" s="33" t="n"/>
      <c r="C32" s="18" t="n"/>
      <c r="D32" s="18" t="n"/>
      <c r="E32" s="19" t="n"/>
      <c r="F32" s="14" t="n"/>
      <c r="G32" s="34" t="n"/>
      <c r="H32" s="33" t="n"/>
      <c r="I32" s="14" t="n"/>
      <c r="J32" s="33" t="n"/>
      <c r="K32" s="18" t="n"/>
      <c r="L32" s="33" t="n"/>
      <c r="M32" s="22">
        <f>IF(F32="","",IF(K32="","Missing: chase","Held"))</f>
        <v/>
      </c>
      <c r="N32" s="28" t="n"/>
      <c r="O32" s="18" t="n"/>
      <c r="P32" s="33" t="n"/>
      <c r="Q32" s="18" t="n"/>
      <c r="R32" s="33" t="n"/>
    </row>
    <row r="33">
      <c r="A33" s="18" t="n"/>
      <c r="B33" s="33" t="n"/>
      <c r="C33" s="18" t="n"/>
      <c r="D33" s="18" t="n"/>
      <c r="E33" s="19" t="n"/>
      <c r="F33" s="14" t="n"/>
      <c r="G33" s="34" t="n"/>
      <c r="H33" s="33" t="n"/>
      <c r="I33" s="14" t="n"/>
      <c r="J33" s="33" t="n"/>
      <c r="K33" s="18" t="n"/>
      <c r="L33" s="33" t="n"/>
      <c r="M33" s="22">
        <f>IF(F33="","",IF(K33="","Missing: chase","Held"))</f>
        <v/>
      </c>
      <c r="N33" s="28" t="n"/>
      <c r="O33" s="18" t="n"/>
      <c r="P33" s="33" t="n"/>
      <c r="Q33" s="18" t="n"/>
      <c r="R33" s="33" t="n"/>
    </row>
    <row r="34">
      <c r="A34" s="18" t="n"/>
      <c r="B34" s="33" t="n"/>
      <c r="C34" s="18" t="n"/>
      <c r="D34" s="18" t="n"/>
      <c r="E34" s="19" t="n"/>
      <c r="F34" s="14" t="n"/>
      <c r="G34" s="34" t="n"/>
      <c r="H34" s="33" t="n"/>
      <c r="I34" s="14" t="n"/>
      <c r="J34" s="33" t="n"/>
      <c r="K34" s="18" t="n"/>
      <c r="L34" s="33" t="n"/>
      <c r="M34" s="22">
        <f>IF(F34="","",IF(K34="","Missing: chase","Held"))</f>
        <v/>
      </c>
      <c r="N34" s="28" t="n"/>
      <c r="O34" s="18" t="n"/>
      <c r="P34" s="33" t="n"/>
      <c r="Q34" s="18" t="n"/>
      <c r="R34" s="33" t="n"/>
    </row>
    <row r="35">
      <c r="A35" s="8" t="inlineStr">
        <is>
          <t>Total deducted by customers</t>
        </is>
      </c>
      <c r="B35" s="7" t="n"/>
      <c r="C35" s="7" t="n"/>
      <c r="D35" s="7" t="n"/>
      <c r="E35" s="7" t="n"/>
      <c r="F35" s="7" t="n"/>
      <c r="G35" s="7" t="n"/>
      <c r="H35" s="7" t="n"/>
      <c r="I35" s="24">
        <f>SUM(I25:I34)</f>
        <v/>
      </c>
      <c r="J35" s="7" t="n"/>
    </row>
    <row r="36">
      <c r="A36" s="8" t="inlineStr">
        <is>
          <t>Receipts held</t>
        </is>
      </c>
      <c r="B36" s="7" t="n"/>
      <c r="C36" s="7" t="n"/>
      <c r="D36" s="7" t="n"/>
      <c r="E36" s="7" t="n"/>
      <c r="F36" s="7" t="n"/>
      <c r="G36" s="7" t="n"/>
      <c r="H36" s="7" t="n"/>
      <c r="I36" s="24">
        <f>SUMIFS(I25:I34,M25:M34,"Held")</f>
        <v/>
      </c>
      <c r="J36" s="7" t="n"/>
    </row>
    <row r="37">
      <c r="A37" s="8" t="inlineStr">
        <is>
          <t>Receipts missing: chase</t>
        </is>
      </c>
      <c r="B37" s="7" t="n"/>
      <c r="C37" s="7" t="n"/>
      <c r="D37" s="7" t="n"/>
      <c r="E37" s="7" t="n"/>
      <c r="F37" s="7" t="n"/>
      <c r="G37" s="7" t="n"/>
      <c r="H37" s="7" t="n"/>
      <c r="I37" s="24">
        <f>SUMIFS(I25:I34,M25:M34,"Missing: chase")</f>
        <v/>
      </c>
      <c r="J37" s="7" t="n"/>
    </row>
    <row r="38">
      <c r="A38" s="16" t="inlineStr">
        <is>
          <t>The WHT deducted column is prefilled with 3% of the amount; overwrite it with the amount on the customer's receipt if it differs.</t>
        </is>
      </c>
    </row>
  </sheetData>
  <mergeCells count="86">
    <mergeCell ref="F33:H33"/>
    <mergeCell ref="K24:L24"/>
    <mergeCell ref="K33:L33"/>
    <mergeCell ref="I26:J26"/>
    <mergeCell ref="K26:L26"/>
    <mergeCell ref="F31:H31"/>
    <mergeCell ref="I25:J25"/>
    <mergeCell ref="O32:P32"/>
    <mergeCell ref="O26:P26"/>
    <mergeCell ref="Q26:R26"/>
    <mergeCell ref="A27:B27"/>
    <mergeCell ref="M25:N25"/>
    <mergeCell ref="O25:P25"/>
    <mergeCell ref="A33:B33"/>
    <mergeCell ref="M33:N33"/>
    <mergeCell ref="O27:P27"/>
    <mergeCell ref="Q27:R27"/>
    <mergeCell ref="Q30:R30"/>
    <mergeCell ref="A28:B28"/>
    <mergeCell ref="K28:L28"/>
    <mergeCell ref="I30:J30"/>
    <mergeCell ref="A30:B30"/>
    <mergeCell ref="K30:L30"/>
    <mergeCell ref="O29:P29"/>
    <mergeCell ref="Q29:R29"/>
    <mergeCell ref="I32:J32"/>
    <mergeCell ref="F27:H27"/>
    <mergeCell ref="K32:L32"/>
    <mergeCell ref="O31:P31"/>
    <mergeCell ref="Q31:R31"/>
    <mergeCell ref="A26:B26"/>
    <mergeCell ref="I24:J24"/>
    <mergeCell ref="I33:J33"/>
    <mergeCell ref="K27:L27"/>
    <mergeCell ref="M27:N27"/>
    <mergeCell ref="F29:H29"/>
    <mergeCell ref="F25:H25"/>
    <mergeCell ref="M24:N24"/>
    <mergeCell ref="I35:J35"/>
    <mergeCell ref="A1:R1"/>
    <mergeCell ref="A34:B34"/>
    <mergeCell ref="F24:H24"/>
    <mergeCell ref="K25:L25"/>
    <mergeCell ref="M34:N34"/>
    <mergeCell ref="O34:P34"/>
    <mergeCell ref="O28:P28"/>
    <mergeCell ref="F32:H32"/>
    <mergeCell ref="Q28:R28"/>
    <mergeCell ref="F26:H26"/>
    <mergeCell ref="O30:P30"/>
    <mergeCell ref="A21:R21"/>
    <mergeCell ref="K29:L29"/>
    <mergeCell ref="I37:J37"/>
    <mergeCell ref="K31:L31"/>
    <mergeCell ref="M31:N31"/>
    <mergeCell ref="A32:B32"/>
    <mergeCell ref="M26:N26"/>
    <mergeCell ref="F34:H34"/>
    <mergeCell ref="A35:H35"/>
    <mergeCell ref="M29:N29"/>
    <mergeCell ref="Q32:R32"/>
    <mergeCell ref="F30:H30"/>
    <mergeCell ref="I34:J34"/>
    <mergeCell ref="A24:B24"/>
    <mergeCell ref="Q25:R25"/>
    <mergeCell ref="K34:L34"/>
    <mergeCell ref="O24:P24"/>
    <mergeCell ref="Q24:R24"/>
    <mergeCell ref="I27:J27"/>
    <mergeCell ref="O33:P33"/>
    <mergeCell ref="A36:H36"/>
    <mergeCell ref="Q33:R33"/>
    <mergeCell ref="I36:J36"/>
    <mergeCell ref="F28:H28"/>
    <mergeCell ref="A25:B25"/>
    <mergeCell ref="I28:J28"/>
    <mergeCell ref="A37:H37"/>
    <mergeCell ref="M30:N30"/>
    <mergeCell ref="Q34:R34"/>
    <mergeCell ref="A38:R38"/>
    <mergeCell ref="M28:N28"/>
    <mergeCell ref="I29:J29"/>
    <mergeCell ref="A29:B29"/>
    <mergeCell ref="M32:N32"/>
    <mergeCell ref="I31:J31"/>
    <mergeCell ref="A31:B31"/>
  </mergeCells>
  <conditionalFormatting sqref="P4:P20">
    <cfRule type="expression" priority="1" dxfId="0">
      <formula>AND(ISNUMBER($P4),$P4&lt;&gt;0)</formula>
    </cfRule>
  </conditionalFormatting>
  <conditionalFormatting sqref="E4:E19">
    <cfRule type="cellIs" priority="2" operator="equal" dxfId="1">
      <formula>"No"</formula>
    </cfRule>
  </conditionalFormatting>
  <conditionalFormatting sqref="M25:M34">
    <cfRule type="cellIs" priority="3" operator="equal" dxfId="1">
      <formula>"Missing: chase"</formula>
    </cfRule>
  </conditionalFormatting>
  <dataValidations count="2">
    <dataValidation sqref="E4:E19 N4:N19" showDropDown="0" showInputMessage="0" showErrorMessage="0" allowBlank="1" errorTitle="Invalid entry" error="Choose a value from the list." type="list">
      <formula1>"Yes,No"</formula1>
    </dataValidation>
    <dataValidation sqref="F4:F19" showDropDown="0" showInputMessage="0" showErrorMessage="0" allowBlank="1" errorTitle="Invalid entry" error="Choose a value from the list." type="list">
      <formula1>"Goods,Services"</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F24"/>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52" customWidth="1" min="2" max="2"/>
    <col width="17" customWidth="1" min="3" max="3"/>
    <col width="17" customWidth="1" min="4" max="4"/>
    <col width="17" customWidth="1" min="5" max="5"/>
    <col width="17" customWidth="1" min="6" max="6"/>
  </cols>
  <sheetData>
    <row r="1" ht="33" customHeight="1">
      <c r="A1" s="12" t="inlineStr">
        <is>
          <t>Withholding Recon: compare the register, the ledger and the Ministry's remittance receipts each month, and keep the credits summary for the annual return.</t>
        </is>
      </c>
      <c r="B1" s="2" t="n"/>
      <c r="C1" s="2" t="n"/>
      <c r="D1" s="2" t="n"/>
      <c r="E1" s="2" t="n"/>
      <c r="F1" s="2" t="n"/>
    </row>
    <row r="2"/>
    <row r="3" ht="32" customHeight="1">
      <c r="A3" s="6" t="inlineStr">
        <is>
          <t>No.</t>
        </is>
      </c>
      <c r="B3" s="6" t="inlineStr">
        <is>
          <t>Line</t>
        </is>
      </c>
      <c r="C3" s="6" t="inlineStr">
        <is>
          <t>Hamle</t>
        </is>
      </c>
      <c r="D3" s="6" t="inlineStr">
        <is>
          <t>Nehase and Pagume</t>
        </is>
      </c>
      <c r="E3" s="6" t="inlineStr">
        <is>
          <t>Meskerem</t>
        </is>
      </c>
      <c r="F3" s="6" t="inlineStr">
        <is>
          <t>Quarter total</t>
        </is>
      </c>
    </row>
    <row r="4">
      <c r="A4" s="25" t="inlineStr">
        <is>
          <t>1</t>
        </is>
      </c>
      <c r="B4" s="9" t="inlineStr">
        <is>
          <t>Tax withheld per register (Section A)</t>
        </is>
      </c>
      <c r="C4" s="21">
        <f>SUMIFS('Withholding Register'!$L$4:$L$19,'Withholding Register'!$A$4:$A$19,"Hamle*")</f>
        <v/>
      </c>
      <c r="D4" s="21">
        <f>SUMIFS('Withholding Register'!$L$4:$L$19,'Withholding Register'!$A$4:$A$19,"Nehase*")+SUMIFS('Withholding Register'!$L$4:$L$19,'Withholding Register'!$A$4:$A$19,"Pagume*")</f>
        <v/>
      </c>
      <c r="E4" s="21">
        <f>SUMIFS('Withholding Register'!$L$4:$L$19,'Withholding Register'!$A$4:$A$19,"Meskerem*")</f>
        <v/>
      </c>
      <c r="F4" s="21">
        <f>SUM(C4:E4)</f>
        <v/>
      </c>
    </row>
    <row r="5">
      <c r="A5" s="25" t="inlineStr">
        <is>
          <t>2</t>
        </is>
      </c>
      <c r="B5" s="9" t="inlineStr">
        <is>
          <t>Credited to WHT payable in the ledger</t>
        </is>
      </c>
      <c r="C5" s="21">
        <f>SUMIFS('Withholding Register'!$O$4:$O$19,'Withholding Register'!$A$4:$A$19,"Hamle*")</f>
        <v/>
      </c>
      <c r="D5" s="21">
        <f>SUMIFS('Withholding Register'!$O$4:$O$19,'Withholding Register'!$A$4:$A$19,"Nehase*")+SUMIFS('Withholding Register'!$O$4:$O$19,'Withholding Register'!$A$4:$A$19,"Pagume*")</f>
        <v/>
      </c>
      <c r="E5" s="21">
        <f>SUMIFS('Withholding Register'!$O$4:$O$19,'Withholding Register'!$A$4:$A$19,"Meskerem*")</f>
        <v/>
      </c>
      <c r="F5" s="21">
        <f>SUM(C5:E5)</f>
        <v/>
      </c>
    </row>
    <row r="6">
      <c r="A6" s="25" t="inlineStr">
        <is>
          <t>3</t>
        </is>
      </c>
      <c r="B6" s="9" t="inlineStr">
        <is>
          <t>Remitted per Ministry receipt (input)</t>
        </is>
      </c>
      <c r="C6" s="14" t="n">
        <v>0</v>
      </c>
      <c r="D6" s="14" t="n">
        <v>0</v>
      </c>
      <c r="E6" s="14" t="n">
        <v>210150</v>
      </c>
      <c r="F6" s="21">
        <f>SUM(C6:E6)</f>
        <v/>
      </c>
    </row>
    <row r="7">
      <c r="A7" s="25" t="inlineStr">
        <is>
          <t>4</t>
        </is>
      </c>
      <c r="B7" s="8" t="inlineStr">
        <is>
          <t>Register minus ledger = line 1 minus line 2</t>
        </is>
      </c>
      <c r="C7" s="24">
        <f>C4-C5</f>
        <v/>
      </c>
      <c r="D7" s="24">
        <f>D4-D5</f>
        <v/>
      </c>
      <c r="E7" s="24">
        <f>E4-E5</f>
        <v/>
      </c>
      <c r="F7" s="24">
        <f>SUM(C7:E7)</f>
        <v/>
      </c>
    </row>
    <row r="8">
      <c r="A8" s="25" t="inlineStr">
        <is>
          <t>5</t>
        </is>
      </c>
      <c r="B8" s="8" t="inlineStr">
        <is>
          <t>Ledger minus remitted = line 2 minus line 3</t>
        </is>
      </c>
      <c r="C8" s="24">
        <f>C5-C6</f>
        <v/>
      </c>
      <c r="D8" s="24">
        <f>D5-D6</f>
        <v/>
      </c>
      <c r="E8" s="24">
        <f>E5-E6</f>
        <v/>
      </c>
      <c r="F8" s="24">
        <f>SUM(C8:E8)</f>
        <v/>
      </c>
    </row>
    <row r="9" ht="33" customHeight="1">
      <c r="A9" s="25" t="inlineStr">
        <is>
          <t>6</t>
        </is>
      </c>
      <c r="B9" s="8" t="inlineStr">
        <is>
          <t>Explanation</t>
        </is>
      </c>
      <c r="C9" s="18" t="inlineStr">
        <is>
          <t>Electrician without TIN computed at 3% instead of 30% (6,750); pallet order PO-2291 of ETB 26,000 split into two invoices, withholding missed (780).</t>
        </is>
      </c>
    </row>
    <row r="10" ht="48" customHeight="1">
      <c r="A10" s="25" t="inlineStr">
        <is>
          <t>7</t>
        </is>
      </c>
      <c r="B10" s="8" t="inlineStr">
        <is>
          <t>Action</t>
        </is>
      </c>
      <c r="C10" s="18" t="inlineStr">
        <is>
          <t>Post 7,530 to WHT payable, remit the shortfall with a corrected declaration, issue receipts, and add a TIN check and contract-level threshold test to the payment workflow.</t>
        </is>
      </c>
    </row>
    <row r="11" ht="33" customHeight="1">
      <c r="A11" s="25" t="inlineStr">
        <is>
          <t>8</t>
        </is>
      </c>
      <c r="B11" s="8" t="inlineStr">
        <is>
          <t>Deadline</t>
        </is>
      </c>
      <c r="C11" s="18" t="inlineStr">
        <is>
          <t>Remit by the date set by the Ministry of Revenues (commonly monthly; confirm locally). PAYE is due by the end of the following month.</t>
        </is>
      </c>
    </row>
    <row r="12"/>
    <row r="13">
      <c r="B13" s="5" t="inlineStr">
        <is>
          <t>Credits from customers, Meskerem (from Section B)</t>
        </is>
      </c>
    </row>
    <row r="14" ht="20" customHeight="1">
      <c r="B14" s="6" t="inlineStr">
        <is>
          <t>Item</t>
        </is>
      </c>
      <c r="C14" s="6" t="inlineStr">
        <is>
          <t>Amount (ETB)</t>
        </is>
      </c>
    </row>
    <row r="15">
      <c r="B15" s="8" t="inlineStr">
        <is>
          <t>Withholding receivable per ledger</t>
        </is>
      </c>
      <c r="C15" s="21">
        <f>'Withholding Register'!I35</f>
        <v/>
      </c>
    </row>
    <row r="16">
      <c r="B16" s="8" t="inlineStr">
        <is>
          <t>Receipts held</t>
        </is>
      </c>
      <c r="C16" s="21">
        <f>'Withholding Register'!I36</f>
        <v/>
      </c>
    </row>
    <row r="17">
      <c r="B17" s="8" t="inlineStr">
        <is>
          <t>Missing</t>
        </is>
      </c>
      <c r="C17" s="21">
        <f>'Withholding Register'!I37</f>
        <v/>
      </c>
    </row>
    <row r="18">
      <c r="B18" s="16" t="inlineStr">
        <is>
          <t>Claim only receipted credits on the annual return.</t>
        </is>
      </c>
    </row>
    <row r="19"/>
    <row r="20">
      <c r="B20" s="5" t="inlineStr">
        <is>
          <t>Annual credits summary, FY 2025/26 (used by the BIT Computation)</t>
        </is>
      </c>
    </row>
    <row r="21" ht="20" customHeight="1">
      <c r="B21" s="6" t="inlineStr">
        <is>
          <t>Item</t>
        </is>
      </c>
      <c r="C21" s="6" t="inlineStr">
        <is>
          <t>Amount (ETB)</t>
        </is>
      </c>
    </row>
    <row r="22">
      <c r="B22" s="8" t="inlineStr">
        <is>
          <t>Withholding receivable per ledger at Sene 30</t>
        </is>
      </c>
      <c r="C22" s="14" t="n">
        <v>1837000</v>
      </c>
    </row>
    <row r="23">
      <c r="B23" s="8" t="inlineStr">
        <is>
          <t>Supported by receipts (claim on the return)</t>
        </is>
      </c>
      <c r="C23" s="14" t="n">
        <v>1750000</v>
      </c>
    </row>
    <row r="24">
      <c r="B24" s="8" t="inlineStr">
        <is>
          <t>Missing receipts (Bishoftu Dairy PLC)</t>
        </is>
      </c>
      <c r="C24" s="24">
        <f>C22-C23</f>
        <v/>
      </c>
    </row>
  </sheetData>
  <mergeCells count="4">
    <mergeCell ref="C10:F10"/>
    <mergeCell ref="C9:F9"/>
    <mergeCell ref="A1:F1"/>
    <mergeCell ref="C11:F11"/>
  </mergeCells>
  <conditionalFormatting sqref="C7:F8">
    <cfRule type="cellIs" priority="1" operator="notEqual" dxfId="0">
      <formula>0</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9.xml><?xml version="1.0" encoding="utf-8"?>
<worksheet xmlns="http://schemas.openxmlformats.org/spreadsheetml/2006/main">
  <sheetPr>
    <tabColor rgb="000F4C3A"/>
    <outlinePr summaryBelow="1" summaryRight="1"/>
    <pageSetUpPr fitToPage="1"/>
  </sheetPr>
  <dimension ref="A1:K55"/>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6" customWidth="1" min="1" max="1"/>
    <col width="46" customWidth="1" min="2" max="2"/>
    <col width="14" customWidth="1" min="3" max="3"/>
    <col width="18" customWidth="1" min="4" max="4"/>
    <col width="26" customWidth="1" min="5" max="5"/>
    <col width="16" customWidth="1" min="6" max="6"/>
    <col width="18" customWidth="1" min="7" max="7"/>
    <col width="34" customWidth="1" min="8" max="8"/>
    <col width="13" customWidth="1" min="9" max="9"/>
    <col width="15" customWidth="1" min="10" max="10"/>
    <col width="13" customWidth="1" min="11" max="11"/>
  </cols>
  <sheetData>
    <row r="1" ht="30" customHeight="1">
      <c r="A1" s="12" t="inlineStr">
        <is>
          <t>Audit Checklist: the documents for a Ministry of Revenues field audit, their status and location, the file index and a draft findings response.</t>
        </is>
      </c>
      <c r="B1" s="2" t="n"/>
      <c r="C1" s="2" t="n"/>
      <c r="D1" s="2" t="n"/>
      <c r="E1" s="2" t="n"/>
      <c r="F1" s="2" t="n"/>
      <c r="G1" s="2" t="n"/>
      <c r="H1" s="2" t="n"/>
      <c r="I1" s="2" t="n"/>
      <c r="J1" s="2" t="n"/>
      <c r="K1" s="2" t="n"/>
    </row>
    <row r="2"/>
    <row r="3">
      <c r="B3" s="8" t="inlineStr">
        <is>
          <t>Audit of</t>
        </is>
      </c>
      <c r="C3" s="26" t="inlineStr">
        <is>
          <t>FY 2023/24 and 2024/25</t>
        </is>
      </c>
    </row>
    <row r="4">
      <c r="B4" s="8" t="inlineStr">
        <is>
          <t>Taxes</t>
        </is>
      </c>
      <c r="C4" s="26" t="inlineStr">
        <is>
          <t>Income tax, VAT, withholding</t>
        </is>
      </c>
    </row>
    <row r="5">
      <c r="B5" s="8" t="inlineStr">
        <is>
          <t>Single contact</t>
        </is>
      </c>
      <c r="C5" s="26" t="inlineStr">
        <is>
          <t>Meron Tadesse, tax accountant</t>
        </is>
      </c>
    </row>
    <row r="6">
      <c r="B6" s="8" t="inlineStr">
        <is>
          <t>Notification date</t>
        </is>
      </c>
      <c r="C6" s="26" t="inlineStr">
        <is>
          <t>Meskerem 20, 2019 E.C.</t>
        </is>
      </c>
    </row>
    <row r="7">
      <c r="B7" s="8" t="inlineStr">
        <is>
          <t>Documents due date</t>
        </is>
      </c>
      <c r="C7" s="26" t="inlineStr">
        <is>
          <t>Tikimt 4, 2019 E.C.</t>
        </is>
      </c>
    </row>
    <row r="8"/>
    <row r="9" ht="48" customHeight="1">
      <c r="A9" s="6" t="inlineStr">
        <is>
          <t>No.</t>
        </is>
      </c>
      <c r="B9" s="6" t="inlineStr">
        <is>
          <t>Document</t>
        </is>
      </c>
      <c r="C9" s="6" t="inlineStr">
        <is>
          <t>Tax</t>
        </is>
      </c>
      <c r="D9" s="6" t="inlineStr">
        <is>
          <t>Period</t>
        </is>
      </c>
      <c r="E9" s="6" t="inlineStr">
        <is>
          <t>Location (folder or system path)</t>
        </is>
      </c>
      <c r="F9" s="6" t="inlineStr">
        <is>
          <t>Owner</t>
        </is>
      </c>
      <c r="G9" s="6" t="inlineStr">
        <is>
          <t>Status</t>
        </is>
      </c>
      <c r="H9" s="6" t="inlineStr">
        <is>
          <t>Alternative evidence offered</t>
        </is>
      </c>
      <c r="I9" s="6" t="inlineStr">
        <is>
          <t>Request no. from auditors</t>
        </is>
      </c>
      <c r="J9" s="6" t="inlineStr">
        <is>
          <t>Date provided</t>
        </is>
      </c>
      <c r="K9" s="6" t="inlineStr">
        <is>
          <t>Copy or original inspected</t>
        </is>
      </c>
    </row>
    <row r="10" ht="33" customHeight="1">
      <c r="A10" s="25" t="n">
        <v>1</v>
      </c>
      <c r="B10" s="18" t="inlineStr">
        <is>
          <t>TIN certificate, VAT registration certificate and business license</t>
        </is>
      </c>
      <c r="C10" s="18" t="inlineStr">
        <is>
          <t>All</t>
        </is>
      </c>
      <c r="D10" s="18" t="inlineStr">
        <is>
          <t>Permanent</t>
        </is>
      </c>
      <c r="E10" s="18" t="inlineStr">
        <is>
          <t>P1 Permanent</t>
        </is>
      </c>
      <c r="F10" s="18" t="inlineStr">
        <is>
          <t>Meron Tadesse</t>
        </is>
      </c>
      <c r="G10" s="19" t="inlineStr">
        <is>
          <t>Ready</t>
        </is>
      </c>
      <c r="H10" s="18" t="n"/>
      <c r="I10" s="18" t="n"/>
      <c r="J10" s="18" t="n"/>
      <c r="K10" s="19" t="inlineStr">
        <is>
          <t>Copy</t>
        </is>
      </c>
    </row>
    <row r="11">
      <c r="A11" s="25" t="n">
        <v>2</v>
      </c>
      <c r="B11" s="18" t="inlineStr">
        <is>
          <t>Memorandum and articles of association</t>
        </is>
      </c>
      <c r="C11" s="18" t="inlineStr">
        <is>
          <t>All</t>
        </is>
      </c>
      <c r="D11" s="18" t="inlineStr">
        <is>
          <t>Permanent</t>
        </is>
      </c>
      <c r="E11" s="18" t="inlineStr">
        <is>
          <t>P1 Permanent</t>
        </is>
      </c>
      <c r="F11" s="18" t="inlineStr">
        <is>
          <t>Meron Tadesse</t>
        </is>
      </c>
      <c r="G11" s="19" t="inlineStr">
        <is>
          <t>Ready</t>
        </is>
      </c>
      <c r="H11" s="18" t="n"/>
      <c r="I11" s="18" t="n"/>
      <c r="J11" s="18" t="n"/>
      <c r="K11" s="19" t="inlineStr">
        <is>
          <t>Copy</t>
        </is>
      </c>
    </row>
    <row r="12" ht="33" customHeight="1">
      <c r="A12" s="25" t="n">
        <v>3</v>
      </c>
      <c r="B12" s="18" t="inlineStr">
        <is>
          <t>Audited financial statements with AABE filing receipts</t>
        </is>
      </c>
      <c r="C12" s="18" t="inlineStr">
        <is>
          <t>Income tax</t>
        </is>
      </c>
      <c r="D12" s="18" t="inlineStr">
        <is>
          <t>FY 2023/24, 2024/25</t>
        </is>
      </c>
      <c r="E12" s="18" t="inlineStr">
        <is>
          <t>IT1 Income tax by year</t>
        </is>
      </c>
      <c r="F12" s="18" t="inlineStr">
        <is>
          <t>Meron Tadesse</t>
        </is>
      </c>
      <c r="G12" s="19" t="inlineStr">
        <is>
          <t>Ready</t>
        </is>
      </c>
      <c r="H12" s="18" t="n"/>
      <c r="I12" s="18" t="n"/>
      <c r="J12" s="18" t="n"/>
      <c r="K12" s="19" t="inlineStr">
        <is>
          <t>Copy</t>
        </is>
      </c>
    </row>
    <row r="13">
      <c r="A13" s="25" t="n">
        <v>4</v>
      </c>
      <c r="B13" s="18" t="inlineStr">
        <is>
          <t>Trial balance and general ledger</t>
        </is>
      </c>
      <c r="C13" s="18" t="inlineStr">
        <is>
          <t>All</t>
        </is>
      </c>
      <c r="D13" s="18" t="inlineStr">
        <is>
          <t>Both years</t>
        </is>
      </c>
      <c r="E13" s="18" t="inlineStr">
        <is>
          <t>ERP export, IT1</t>
        </is>
      </c>
      <c r="F13" s="18" t="inlineStr">
        <is>
          <t>Meron Tadesse</t>
        </is>
      </c>
      <c r="G13" s="19" t="inlineStr">
        <is>
          <t>Ready</t>
        </is>
      </c>
      <c r="H13" s="18" t="n"/>
      <c r="I13" s="18" t="n"/>
      <c r="J13" s="18" t="n"/>
      <c r="K13" s="19" t="inlineStr">
        <is>
          <t>Copy</t>
        </is>
      </c>
    </row>
    <row r="14" ht="33" customHeight="1">
      <c r="A14" s="25" t="n">
        <v>5</v>
      </c>
      <c r="B14" s="18" t="inlineStr">
        <is>
          <t>Income tax returns, computations and add-back schedules</t>
        </is>
      </c>
      <c r="C14" s="18" t="inlineStr">
        <is>
          <t>Income tax</t>
        </is>
      </c>
      <c r="D14" s="18" t="inlineStr">
        <is>
          <t>Both years</t>
        </is>
      </c>
      <c r="E14" s="18" t="inlineStr">
        <is>
          <t>IT1 Income tax by year</t>
        </is>
      </c>
      <c r="F14" s="18" t="inlineStr">
        <is>
          <t>Meron Tadesse</t>
        </is>
      </c>
      <c r="G14" s="19" t="inlineStr">
        <is>
          <t>Ready</t>
        </is>
      </c>
      <c r="H14" s="18" t="n"/>
      <c r="I14" s="18" t="n"/>
      <c r="J14" s="18" t="n"/>
      <c r="K14" s="19" t="inlineStr">
        <is>
          <t>Copy</t>
        </is>
      </c>
    </row>
    <row r="15">
      <c r="A15" s="25" t="n">
        <v>6</v>
      </c>
      <c r="B15" s="18" t="inlineStr">
        <is>
          <t>Fixed asset register with tax depreciation</t>
        </is>
      </c>
      <c r="C15" s="18" t="inlineStr">
        <is>
          <t>Income tax</t>
        </is>
      </c>
      <c r="D15" s="18" t="inlineStr">
        <is>
          <t>Both years</t>
        </is>
      </c>
      <c r="E15" s="18" t="inlineStr">
        <is>
          <t>IT1 Income tax by year</t>
        </is>
      </c>
      <c r="F15" s="18" t="inlineStr">
        <is>
          <t>Meron Tadesse</t>
        </is>
      </c>
      <c r="G15" s="19" t="inlineStr">
        <is>
          <t>Ready</t>
        </is>
      </c>
      <c r="H15" s="18" t="n"/>
      <c r="I15" s="18" t="n"/>
      <c r="J15" s="18" t="n"/>
      <c r="K15" s="19" t="inlineStr">
        <is>
          <t>Copy</t>
        </is>
      </c>
    </row>
    <row r="16">
      <c r="A16" s="25" t="n">
        <v>7</v>
      </c>
      <c r="B16" s="18" t="inlineStr">
        <is>
          <t>24 monthly VAT returns and payment receipts</t>
        </is>
      </c>
      <c r="C16" s="18" t="inlineStr">
        <is>
          <t>VAT</t>
        </is>
      </c>
      <c r="D16" s="18" t="inlineStr">
        <is>
          <t>Both years</t>
        </is>
      </c>
      <c r="E16" s="18" t="inlineStr">
        <is>
          <t>V1 VAT by month</t>
        </is>
      </c>
      <c r="F16" s="18" t="inlineStr">
        <is>
          <t>Meron Tadesse</t>
        </is>
      </c>
      <c r="G16" s="19" t="inlineStr">
        <is>
          <t>Ready</t>
        </is>
      </c>
      <c r="H16" s="18" t="n"/>
      <c r="I16" s="18" t="n"/>
      <c r="J16" s="18" t="n"/>
      <c r="K16" s="19" t="inlineStr">
        <is>
          <t>Copy</t>
        </is>
      </c>
    </row>
    <row r="17" ht="33" customHeight="1">
      <c r="A17" s="25" t="n">
        <v>8</v>
      </c>
      <c r="B17" s="18" t="inlineStr">
        <is>
          <t>Sales and purchase registers with monthly reconciliations</t>
        </is>
      </c>
      <c r="C17" s="18" t="inlineStr">
        <is>
          <t>VAT</t>
        </is>
      </c>
      <c r="D17" s="18" t="inlineStr">
        <is>
          <t>Both years</t>
        </is>
      </c>
      <c r="E17" s="18" t="inlineStr">
        <is>
          <t>V1 and R1</t>
        </is>
      </c>
      <c r="F17" s="18" t="inlineStr">
        <is>
          <t>Meron Tadesse</t>
        </is>
      </c>
      <c r="G17" s="19" t="inlineStr">
        <is>
          <t>Ready</t>
        </is>
      </c>
      <c r="H17" s="18" t="n"/>
      <c r="I17" s="18" t="n"/>
      <c r="J17" s="18" t="n"/>
      <c r="K17" s="19" t="inlineStr">
        <is>
          <t>Copy</t>
        </is>
      </c>
    </row>
    <row r="18" ht="33" customHeight="1">
      <c r="A18" s="25" t="n">
        <v>9</v>
      </c>
      <c r="B18" s="18" t="inlineStr">
        <is>
          <t>Sales invoice book 0031</t>
        </is>
      </c>
      <c r="C18" s="18" t="inlineStr">
        <is>
          <t>VAT</t>
        </is>
      </c>
      <c r="D18" s="18" t="inlineStr">
        <is>
          <t>FY 2023/24</t>
        </is>
      </c>
      <c r="E18" s="18" t="inlineStr">
        <is>
          <t>Lost</t>
        </is>
      </c>
      <c r="F18" s="18" t="inlineStr">
        <is>
          <t>Meron Tadesse</t>
        </is>
      </c>
      <c r="G18" s="19" t="inlineStr">
        <is>
          <t>Alternative evidence</t>
        </is>
      </c>
      <c r="H18" s="18" t="inlineStr">
        <is>
          <t>ERP invoice report, bank receipts, signed memo on the loss</t>
        </is>
      </c>
      <c r="I18" s="18" t="n"/>
      <c r="J18" s="18" t="n"/>
      <c r="K18" s="19" t="inlineStr">
        <is>
          <t>Copy</t>
        </is>
      </c>
    </row>
    <row r="19">
      <c r="A19" s="25" t="n">
        <v>10</v>
      </c>
      <c r="B19" s="18" t="inlineStr">
        <is>
          <t>Credit notes with customer acknowledgments</t>
        </is>
      </c>
      <c r="C19" s="18" t="inlineStr">
        <is>
          <t>VAT</t>
        </is>
      </c>
      <c r="D19" s="18" t="inlineStr">
        <is>
          <t>Both years</t>
        </is>
      </c>
      <c r="E19" s="18" t="inlineStr">
        <is>
          <t>V1 VAT by month</t>
        </is>
      </c>
      <c r="F19" s="18" t="inlineStr">
        <is>
          <t>Meron Tadesse</t>
        </is>
      </c>
      <c r="G19" s="19" t="inlineStr">
        <is>
          <t>Ready</t>
        </is>
      </c>
      <c r="H19" s="18" t="n"/>
      <c r="I19" s="18" t="n"/>
      <c r="J19" s="18" t="n"/>
      <c r="K19" s="19" t="inlineStr">
        <is>
          <t>Copy</t>
        </is>
      </c>
    </row>
    <row r="20" ht="33" customHeight="1">
      <c r="A20" s="25" t="n">
        <v>11</v>
      </c>
      <c r="B20" s="18" t="inlineStr">
        <is>
          <t>Customs import and export declarations</t>
        </is>
      </c>
      <c r="C20" s="18" t="inlineStr">
        <is>
          <t>VAT, income tax</t>
        </is>
      </c>
      <c r="D20" s="18" t="inlineStr">
        <is>
          <t>Both years</t>
        </is>
      </c>
      <c r="E20" s="18" t="inlineStr">
        <is>
          <t>V1; copies from the customs broker</t>
        </is>
      </c>
      <c r="F20" s="18" t="inlineStr">
        <is>
          <t>Meron Tadesse</t>
        </is>
      </c>
      <c r="G20" s="19" t="inlineStr">
        <is>
          <t>Ready</t>
        </is>
      </c>
      <c r="H20" s="18" t="n"/>
      <c r="I20" s="18" t="n"/>
      <c r="J20" s="18" t="n"/>
      <c r="K20" s="19" t="inlineStr">
        <is>
          <t>Copy</t>
        </is>
      </c>
    </row>
    <row r="21" ht="33" customHeight="1">
      <c r="A21" s="25" t="n">
        <v>12</v>
      </c>
      <c r="B21" s="18" t="inlineStr">
        <is>
          <t>Withholding registers and receipts issued</t>
        </is>
      </c>
      <c r="C21" s="18" t="inlineStr">
        <is>
          <t>Withholding</t>
        </is>
      </c>
      <c r="D21" s="18" t="inlineStr">
        <is>
          <t>Both years</t>
        </is>
      </c>
      <c r="E21" s="18" t="inlineStr">
        <is>
          <t>W1 Withholding by month (3 receipts reissued)</t>
        </is>
      </c>
      <c r="F21" s="18" t="inlineStr">
        <is>
          <t>Meron Tadesse</t>
        </is>
      </c>
      <c r="G21" s="19" t="inlineStr">
        <is>
          <t>Ready</t>
        </is>
      </c>
      <c r="H21" s="18" t="n"/>
      <c r="I21" s="18" t="n"/>
      <c r="J21" s="18" t="n"/>
      <c r="K21" s="19" t="inlineStr">
        <is>
          <t>Copy</t>
        </is>
      </c>
    </row>
    <row r="22" ht="33" customHeight="1">
      <c r="A22" s="25" t="n">
        <v>13</v>
      </c>
      <c r="B22" s="18" t="inlineStr">
        <is>
          <t>Customer withholding receipts for credits claimed</t>
        </is>
      </c>
      <c r="C22" s="18" t="inlineStr">
        <is>
          <t>Income tax</t>
        </is>
      </c>
      <c r="D22" s="18" t="inlineStr">
        <is>
          <t>FY 2024/25</t>
        </is>
      </c>
      <c r="E22" s="18" t="inlineStr">
        <is>
          <t>W1</t>
        </is>
      </c>
      <c r="F22" s="18" t="inlineStr">
        <is>
          <t>Meron Tadesse</t>
        </is>
      </c>
      <c r="G22" s="19" t="inlineStr">
        <is>
          <t>Missing</t>
        </is>
      </c>
      <c r="H22" s="18" t="inlineStr">
        <is>
          <t>Requested from 2 customers; credits not claimed until held</t>
        </is>
      </c>
      <c r="I22" s="18" t="n"/>
      <c r="J22" s="18" t="n"/>
      <c r="K22" s="19" t="inlineStr">
        <is>
          <t>Copy</t>
        </is>
      </c>
    </row>
    <row r="23" ht="33" customHeight="1">
      <c r="A23" s="25" t="n">
        <v>14</v>
      </c>
      <c r="B23" s="18" t="inlineStr">
        <is>
          <t>Payroll sheets, PAYE and pension declarations</t>
        </is>
      </c>
      <c r="C23" s="18" t="inlineStr">
        <is>
          <t>PAYE, pension</t>
        </is>
      </c>
      <c r="D23" s="18" t="inlineStr">
        <is>
          <t>Both years</t>
        </is>
      </c>
      <c r="E23" s="18" t="inlineStr">
        <is>
          <t>W1 Withholding and PAYE by month</t>
        </is>
      </c>
      <c r="F23" s="18" t="inlineStr">
        <is>
          <t>Meron Tadesse</t>
        </is>
      </c>
      <c r="G23" s="19" t="inlineStr">
        <is>
          <t>Ready</t>
        </is>
      </c>
      <c r="H23" s="18" t="n"/>
      <c r="I23" s="18" t="n"/>
      <c r="J23" s="18" t="n"/>
      <c r="K23" s="19" t="inlineStr">
        <is>
          <t>Copy</t>
        </is>
      </c>
    </row>
    <row r="24" ht="33" customHeight="1">
      <c r="A24" s="25" t="n">
        <v>15</v>
      </c>
      <c r="B24" s="18" t="inlineStr">
        <is>
          <t>Major customer and supplier contracts, agency contracts for commissions</t>
        </is>
      </c>
      <c r="C24" s="18" t="inlineStr">
        <is>
          <t>Income tax</t>
        </is>
      </c>
      <c r="D24" s="18" t="inlineStr">
        <is>
          <t>Both years</t>
        </is>
      </c>
      <c r="E24" s="18" t="inlineStr">
        <is>
          <t>IT1 Contracts</t>
        </is>
      </c>
      <c r="F24" s="18" t="inlineStr">
        <is>
          <t>Meron Tadesse</t>
        </is>
      </c>
      <c r="G24" s="19" t="inlineStr">
        <is>
          <t>Ready</t>
        </is>
      </c>
      <c r="H24" s="18" t="n"/>
      <c r="I24" s="18" t="n"/>
      <c r="J24" s="18" t="n"/>
      <c r="K24" s="19" t="inlineStr">
        <is>
          <t>Copy</t>
        </is>
      </c>
    </row>
    <row r="25">
      <c r="A25" s="25" t="n">
        <v>16</v>
      </c>
      <c r="B25" s="18" t="inlineStr">
        <is>
          <t>Bank statements</t>
        </is>
      </c>
      <c r="C25" s="18" t="inlineStr">
        <is>
          <t>All</t>
        </is>
      </c>
      <c r="D25" s="18" t="inlineStr">
        <is>
          <t>Both years</t>
        </is>
      </c>
      <c r="E25" s="18" t="inlineStr">
        <is>
          <t>Finance, bank folder</t>
        </is>
      </c>
      <c r="F25" s="18" t="inlineStr">
        <is>
          <t>Meron Tadesse</t>
        </is>
      </c>
      <c r="G25" s="19" t="inlineStr">
        <is>
          <t>Ready</t>
        </is>
      </c>
      <c r="H25" s="18" t="n"/>
      <c r="I25" s="18" t="n"/>
      <c r="J25" s="18" t="n"/>
      <c r="K25" s="19" t="inlineStr">
        <is>
          <t>Copy</t>
        </is>
      </c>
    </row>
    <row r="26" ht="33" customHeight="1">
      <c r="A26" s="25" t="n">
        <v>17</v>
      </c>
      <c r="B26" s="18" t="inlineStr">
        <is>
          <t>Correspondence with the Ministry of Revenues, rulings and prior assessments</t>
        </is>
      </c>
      <c r="C26" s="18" t="inlineStr">
        <is>
          <t>All</t>
        </is>
      </c>
      <c r="D26" s="18" t="inlineStr">
        <is>
          <t>Permanent</t>
        </is>
      </c>
      <c r="E26" s="18" t="inlineStr">
        <is>
          <t>C1 Correspondence</t>
        </is>
      </c>
      <c r="F26" s="18" t="inlineStr">
        <is>
          <t>Meron Tadesse</t>
        </is>
      </c>
      <c r="G26" s="19" t="inlineStr">
        <is>
          <t>Ready</t>
        </is>
      </c>
      <c r="H26" s="18" t="n"/>
      <c r="I26" s="18" t="n"/>
      <c r="J26" s="18" t="n"/>
      <c r="K26" s="19" t="inlineStr">
        <is>
          <t>Copy</t>
        </is>
      </c>
    </row>
    <row r="27">
      <c r="A27" s="25" t="n">
        <v>18</v>
      </c>
      <c r="B27" s="18" t="inlineStr">
        <is>
          <t>Audit request log</t>
        </is>
      </c>
      <c r="C27" s="18" t="inlineStr">
        <is>
          <t>All</t>
        </is>
      </c>
      <c r="D27" s="18" t="inlineStr">
        <is>
          <t>Current audit</t>
        </is>
      </c>
      <c r="E27" s="18" t="inlineStr">
        <is>
          <t>C1 Correspondence</t>
        </is>
      </c>
      <c r="F27" s="18" t="inlineStr">
        <is>
          <t>Meron Tadesse</t>
        </is>
      </c>
      <c r="G27" s="19" t="inlineStr">
        <is>
          <t>Ready</t>
        </is>
      </c>
      <c r="H27" s="18" t="n"/>
      <c r="I27" s="18" t="n"/>
      <c r="J27" s="18" t="n"/>
      <c r="K27" s="19" t="inlineStr">
        <is>
          <t>Copy</t>
        </is>
      </c>
    </row>
    <row r="28"/>
    <row r="29">
      <c r="B29" s="8" t="inlineStr">
        <is>
          <t>Ready</t>
        </is>
      </c>
      <c r="C29" s="35">
        <f>COUNTIF(G10:G27,"Ready")</f>
        <v/>
      </c>
    </row>
    <row r="30">
      <c r="B30" s="8" t="inlineStr">
        <is>
          <t>Missing</t>
        </is>
      </c>
      <c r="C30" s="35">
        <f>COUNTIF(G10:G27,"Missing")</f>
        <v/>
      </c>
    </row>
    <row r="31">
      <c r="B31" s="8" t="inlineStr">
        <is>
          <t>Alternative evidence</t>
        </is>
      </c>
      <c r="C31" s="35">
        <f>COUNTIF(G10:G27,"Alternative evidence")</f>
        <v/>
      </c>
    </row>
    <row r="32">
      <c r="B32" s="8" t="inlineStr">
        <is>
          <t>Percent ready</t>
        </is>
      </c>
      <c r="C32" s="36">
        <f>C29/COUNTA(B10:B27)</f>
        <v/>
      </c>
    </row>
    <row r="33"/>
    <row r="34">
      <c r="B34" s="5" t="inlineStr">
        <is>
          <t>File index</t>
        </is>
      </c>
    </row>
    <row r="35" ht="20" customHeight="1">
      <c r="B35" s="6" t="inlineStr">
        <is>
          <t>Section</t>
        </is>
      </c>
      <c r="C35" s="6" t="inlineStr">
        <is>
          <t>Contents</t>
        </is>
      </c>
      <c r="D35" s="27" t="n"/>
      <c r="E35" s="27" t="n"/>
      <c r="F35" s="28" t="n"/>
      <c r="G35" s="6" t="inlineStr">
        <is>
          <t>Folder reference</t>
        </is>
      </c>
    </row>
    <row r="36">
      <c r="B36" s="18" t="inlineStr">
        <is>
          <t>Permanent file</t>
        </is>
      </c>
      <c r="C36" s="18" t="inlineStr">
        <is>
          <t>Registrations, licenses, memorandum and articles, rulings</t>
        </is>
      </c>
      <c r="G36" s="19" t="inlineStr">
        <is>
          <t>P1</t>
        </is>
      </c>
    </row>
    <row r="37">
      <c r="B37" s="18" t="inlineStr">
        <is>
          <t>Income tax by year</t>
        </is>
      </c>
      <c r="C37" s="18" t="inlineStr">
        <is>
          <t>Returns, computations, add-back schedules, audited statements, asset register</t>
        </is>
      </c>
      <c r="G37" s="19" t="inlineStr">
        <is>
          <t>IT1</t>
        </is>
      </c>
    </row>
    <row r="38">
      <c r="B38" s="18" t="inlineStr">
        <is>
          <t>VAT by month</t>
        </is>
      </c>
      <c r="C38" s="18" t="inlineStr">
        <is>
          <t>Returns, registers, payment receipts, customs declarations, credit notes</t>
        </is>
      </c>
      <c r="G38" s="19" t="inlineStr">
        <is>
          <t>V1</t>
        </is>
      </c>
    </row>
    <row r="39">
      <c r="B39" s="18" t="inlineStr">
        <is>
          <t>Withholding and PAYE by month</t>
        </is>
      </c>
      <c r="C39" s="18" t="inlineStr">
        <is>
          <t>Registers, receipts issued and received, declarations, payroll</t>
        </is>
      </c>
      <c r="G39" s="19" t="inlineStr">
        <is>
          <t>W1</t>
        </is>
      </c>
    </row>
    <row r="40">
      <c r="B40" s="18" t="inlineStr">
        <is>
          <t>Advance tax by quarter</t>
        </is>
      </c>
      <c r="C40" s="18" t="inlineStr">
        <is>
          <t>Installment computations and receipts</t>
        </is>
      </c>
      <c r="G40" s="19" t="inlineStr">
        <is>
          <t>A1</t>
        </is>
      </c>
    </row>
    <row r="41">
      <c r="B41" s="18" t="inlineStr">
        <is>
          <t>Reconciliations</t>
        </is>
      </c>
      <c r="C41" s="18" t="inlineStr">
        <is>
          <t>Revenue bridge, payroll, withholding, VAT to ledger</t>
        </is>
      </c>
      <c r="G41" s="19" t="inlineStr">
        <is>
          <t>R1</t>
        </is>
      </c>
    </row>
    <row r="42">
      <c r="B42" s="18" t="inlineStr">
        <is>
          <t>Correspondence</t>
        </is>
      </c>
      <c r="C42" s="18" t="inlineStr">
        <is>
          <t>Letters, audit notices, request log, assessments</t>
        </is>
      </c>
      <c r="G42" s="19" t="inlineStr">
        <is>
          <t>C1</t>
        </is>
      </c>
    </row>
    <row r="43"/>
    <row r="44">
      <c r="B44" s="5" t="inlineStr">
        <is>
          <t>Draft findings response</t>
        </is>
      </c>
    </row>
    <row r="45" ht="33" customHeight="1">
      <c r="B45" s="6" t="inlineStr">
        <is>
          <t>Finding</t>
        </is>
      </c>
      <c r="C45" s="6" t="inlineStr">
        <is>
          <t>Amount (ETB)</t>
        </is>
      </c>
      <c r="D45" s="6" t="inlineStr">
        <is>
          <t>Response</t>
        </is>
      </c>
      <c r="E45" s="6" t="inlineStr">
        <is>
          <t>Evidence</t>
        </is>
      </c>
      <c r="F45" s="6" t="inlineStr">
        <is>
          <t>Amount to pay now (ETB)</t>
        </is>
      </c>
    </row>
    <row r="46" ht="48" customHeight="1">
      <c r="B46" s="18" t="inlineStr">
        <is>
          <t>Output VAT on month-end invoices (15% x ETB 1,850,000)</t>
        </is>
      </c>
      <c r="C46" s="14" t="n">
        <v>277500</v>
      </c>
      <c r="D46" s="19" t="inlineStr">
        <is>
          <t>Dispute</t>
        </is>
      </c>
      <c r="E46" s="18" t="inlineStr">
        <is>
          <t>Declared and paid the next month (revenue bridge); accept interest for the delay</t>
        </is>
      </c>
      <c r="F46" s="21">
        <f>IF(D46="Agree",C46,0)</f>
        <v/>
      </c>
    </row>
    <row r="47">
      <c r="B47" s="18" t="inlineStr">
        <is>
          <t>Input VAT from a deregistered supplier</t>
        </is>
      </c>
      <c r="C47" s="14" t="n">
        <v>36000</v>
      </c>
      <c r="D47" s="19" t="inlineStr">
        <is>
          <t>Agree</t>
        </is>
      </c>
      <c r="E47" s="18" t="inlineStr">
        <is>
          <t>Pay promptly</t>
        </is>
      </c>
      <c r="F47" s="21">
        <f>IF(D47="Agree",C47,0)</f>
        <v/>
      </c>
    </row>
    <row r="48">
      <c r="B48" s="18" t="inlineStr">
        <is>
          <t>Withholding on split pallet orders</t>
        </is>
      </c>
      <c r="C48" s="14" t="n">
        <v>9600</v>
      </c>
      <c r="D48" s="19" t="inlineStr">
        <is>
          <t>Agree</t>
        </is>
      </c>
      <c r="E48" s="18" t="inlineStr">
        <is>
          <t>Pay promptly</t>
        </is>
      </c>
      <c r="F48" s="21">
        <f>IF(D48="Agree",C48,0)</f>
        <v/>
      </c>
    </row>
    <row r="49" ht="33" customHeight="1">
      <c r="B49" s="18" t="inlineStr">
        <is>
          <t>Commission expense disallowed (ETB 1,200,000), tax at 30%</t>
        </is>
      </c>
      <c r="C49" s="14" t="n">
        <v>360000</v>
      </c>
      <c r="D49" s="19" t="inlineStr">
        <is>
          <t>Dispute</t>
        </is>
      </c>
      <c r="E49" s="18" t="inlineStr">
        <is>
          <t>Agency contracts and bank transfers</t>
        </is>
      </c>
      <c r="F49" s="21">
        <f>IF(D49="Agree",C49,0)</f>
        <v/>
      </c>
    </row>
    <row r="50" ht="33" customHeight="1">
      <c r="B50" s="18" t="inlineStr">
        <is>
          <t>Output VAT on credit notes without customer acknowledgment</t>
        </is>
      </c>
      <c r="C50" s="14" t="n">
        <v>37500</v>
      </c>
      <c r="D50" s="19" t="inlineStr">
        <is>
          <t>Clarify</t>
        </is>
      </c>
      <c r="E50" s="18" t="inlineStr">
        <is>
          <t>Signed customer confirmations</t>
        </is>
      </c>
      <c r="F50" s="21">
        <f>IF(D50="Agree",C50,0)</f>
        <v/>
      </c>
    </row>
    <row r="51">
      <c r="B51" s="30" t="inlineStr">
        <is>
          <t>Agree and pay now</t>
        </is>
      </c>
      <c r="C51" s="32">
        <f>SUMIF(D46:D50,"Agree",C46:C50)</f>
        <v/>
      </c>
    </row>
    <row r="52">
      <c r="B52" s="8" t="inlineStr">
        <is>
          <t>Disputed or to clarify</t>
        </is>
      </c>
      <c r="C52" s="24">
        <f>SUMIF(D46:D50,"Dispute",C46:C50)+SUMIF(D46:D50,"Clarify",C46:C50)</f>
        <v/>
      </c>
    </row>
    <row r="53">
      <c r="B53" s="8" t="inlineStr">
        <is>
          <t>Total proposed tax, before interest and penalties</t>
        </is>
      </c>
      <c r="C53" s="24">
        <f>SUM(C46:C50)</f>
        <v/>
      </c>
    </row>
    <row r="54"/>
    <row r="55">
      <c r="B55" s="16" t="inlineStr">
        <is>
          <t>Produce all evidence before the exit meeting: new evidence is generally barred at objection and appeal under Proclamation No. 1434/2026. Object within 21 days of the assessment; an appeal needs 50% of the disputed tax paid.</t>
        </is>
      </c>
    </row>
  </sheetData>
  <mergeCells count="15">
    <mergeCell ref="C40:F40"/>
    <mergeCell ref="C5:E5"/>
    <mergeCell ref="C39:F39"/>
    <mergeCell ref="C35:F35"/>
    <mergeCell ref="C41:F41"/>
    <mergeCell ref="C4:E4"/>
    <mergeCell ref="C38:F38"/>
    <mergeCell ref="C3:E3"/>
    <mergeCell ref="B55:K55"/>
    <mergeCell ref="C7:E7"/>
    <mergeCell ref="C42:F42"/>
    <mergeCell ref="C37:F37"/>
    <mergeCell ref="A1:K1"/>
    <mergeCell ref="C36:F36"/>
    <mergeCell ref="C6:E6"/>
  </mergeCells>
  <conditionalFormatting sqref="G10:G27">
    <cfRule type="cellIs" priority="1" operator="equal" dxfId="0">
      <formula>"Missing"</formula>
    </cfRule>
    <cfRule type="cellIs" priority="2" operator="equal" dxfId="1">
      <formula>"Alternative evidence"</formula>
    </cfRule>
    <cfRule type="cellIs" priority="3" operator="equal" dxfId="2">
      <formula>"Ready"</formula>
    </cfRule>
  </conditionalFormatting>
  <dataValidations count="3">
    <dataValidation sqref="G10:G27" showDropDown="0" showInputMessage="0" showErrorMessage="0" allowBlank="1" errorTitle="Invalid entry" error="Choose a value from the list." type="list">
      <formula1>"Ready,Missing,Alternative evidence"</formula1>
    </dataValidation>
    <dataValidation sqref="K10:K27" showDropDown="0" showInputMessage="0" showErrorMessage="0" allowBlank="1" errorTitle="Invalid entry" error="Choose a value from the list." type="list">
      <formula1>"Copy,Original"</formula1>
    </dataValidation>
    <dataValidation sqref="D46:D50" showDropDown="0" showInputMessage="0" showErrorMessage="0" allowBlank="1" errorTitle="Invalid entry" error="Choose a value from the list." type="list">
      <formula1>"Agree,Dispute,Clarify"</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0.xml><?xml version="1.0" encoding="utf-8"?>
<worksheet xmlns="http://schemas.openxmlformats.org/spreadsheetml/2006/main">
  <sheetPr>
    <tabColor rgb="000F4C3A"/>
    <outlinePr summaryBelow="1" summaryRight="1"/>
    <pageSetUpPr fitToPage="1"/>
  </sheetPr>
  <dimension ref="A1:I58"/>
  <sheetViews>
    <sheetView showGridLines="0" workbookViewId="0">
      <pane ySplit="1" topLeftCell="A2" activePane="bottomLeft" state="frozen"/>
      <selection pane="bottomLeft" activeCell="A1" sqref="A1"/>
    </sheetView>
  </sheetViews>
  <sheetFormatPr baseColWidth="8" defaultRowHeight="15"/>
  <cols>
    <col width="58" customWidth="1" min="1" max="1"/>
    <col width="22" customWidth="1" min="2" max="2"/>
    <col width="16" customWidth="1" min="3" max="3"/>
    <col width="16" customWidth="1" min="4" max="4"/>
    <col width="12" customWidth="1" min="5" max="5"/>
    <col width="18" customWidth="1" min="6" max="6"/>
    <col width="3" customWidth="1" min="7" max="7"/>
    <col width="44" customWidth="1" min="8" max="8"/>
    <col width="16" customWidth="1" min="9" max="9"/>
  </cols>
  <sheetData>
    <row r="1" ht="30" customHeight="1">
      <c r="A1" s="12" t="inlineStr">
        <is>
          <t>BIT Computation: tax depreciation, taxable income with add-backs, the MAT test, credits, the balance payable and the tax expense for the accounts (FY 2025/26).</t>
        </is>
      </c>
      <c r="B1" s="2" t="n"/>
      <c r="C1" s="2" t="n"/>
      <c r="D1" s="2" t="n"/>
      <c r="E1" s="2" t="n"/>
      <c r="F1" s="2" t="n"/>
      <c r="G1" s="2" t="n"/>
      <c r="H1" s="2" t="n"/>
      <c r="I1" s="2" t="n"/>
    </row>
    <row r="2"/>
    <row r="3">
      <c r="A3" s="5" t="inlineStr">
        <is>
          <t>Section A: tax depreciation schedule, FY 2025/26</t>
        </is>
      </c>
    </row>
    <row r="4" ht="48" customHeight="1">
      <c r="A4" s="6" t="inlineStr">
        <is>
          <t>Asset</t>
        </is>
      </c>
      <c r="B4" s="6" t="inlineStr">
        <is>
          <t>Class</t>
        </is>
      </c>
      <c r="C4" s="6" t="inlineStr">
        <is>
          <t>Cost (ETB)</t>
        </is>
      </c>
      <c r="D4" s="6" t="inlineStr">
        <is>
          <t>Completed and in use at year-end</t>
        </is>
      </c>
      <c r="E4" s="6" t="inlineStr">
        <is>
          <t>Rate</t>
        </is>
      </c>
      <c r="F4" s="6" t="inlineStr">
        <is>
          <t>Tax depreciation (ETB)</t>
        </is>
      </c>
    </row>
    <row r="5">
      <c r="A5" s="18" t="inlineStr">
        <is>
          <t>Factory building</t>
        </is>
      </c>
      <c r="B5" s="18" t="inlineStr">
        <is>
          <t>Building</t>
        </is>
      </c>
      <c r="C5" s="14" t="n">
        <v>60000000</v>
      </c>
      <c r="D5" s="19" t="inlineStr">
        <is>
          <t>Yes</t>
        </is>
      </c>
      <c r="E5" s="20">
        <f>IF(B5="","",VLOOKUP(B5,DEP_CLASSES,3,FALSE))</f>
        <v/>
      </c>
      <c r="F5" s="21">
        <f>IF(C5="","",IF(D5="Yes",ROUND(C5*E5,0),0))</f>
        <v/>
      </c>
    </row>
    <row r="6">
      <c r="A6" s="18" t="inlineStr">
        <is>
          <t>Corrugator and converting machinery</t>
        </is>
      </c>
      <c r="B6" s="18" t="inlineStr">
        <is>
          <t>Other</t>
        </is>
      </c>
      <c r="C6" s="14" t="n">
        <v>22000000</v>
      </c>
      <c r="D6" s="19" t="inlineStr">
        <is>
          <t>Yes</t>
        </is>
      </c>
      <c r="E6" s="20">
        <f>IF(B6="","",VLOOKUP(B6,DEP_CLASSES,3,FALSE))</f>
        <v/>
      </c>
      <c r="F6" s="21">
        <f>IF(C6="","",IF(D6="Yes",ROUND(C6*E6,0),0))</f>
        <v/>
      </c>
    </row>
    <row r="7">
      <c r="A7" s="18" t="inlineStr">
        <is>
          <t>Delivery trucks</t>
        </is>
      </c>
      <c r="B7" s="18" t="inlineStr">
        <is>
          <t>Other</t>
        </is>
      </c>
      <c r="C7" s="14" t="n">
        <v>2400000</v>
      </c>
      <c r="D7" s="19" t="inlineStr">
        <is>
          <t>Yes</t>
        </is>
      </c>
      <c r="E7" s="20">
        <f>IF(B7="","",VLOOKUP(B7,DEP_CLASSES,3,FALSE))</f>
        <v/>
      </c>
      <c r="F7" s="21">
        <f>IF(C7="","",IF(D7="Yes",ROUND(C7*E7,0),0))</f>
        <v/>
      </c>
    </row>
    <row r="8">
      <c r="A8" s="18" t="inlineStr">
        <is>
          <t>Computers and ERP software</t>
        </is>
      </c>
      <c r="B8" s="18" t="inlineStr">
        <is>
          <t>Computers and software</t>
        </is>
      </c>
      <c r="C8" s="14" t="n">
        <v>2500000</v>
      </c>
      <c r="D8" s="19" t="inlineStr">
        <is>
          <t>Yes</t>
        </is>
      </c>
      <c r="E8" s="20">
        <f>IF(B8="","",VLOOKUP(B8,DEP_CLASSES,3,FALSE))</f>
        <v/>
      </c>
      <c r="F8" s="21">
        <f>IF(C8="","",IF(D8="Yes",ROUND(C8*E8,0),0))</f>
        <v/>
      </c>
    </row>
    <row r="9">
      <c r="A9" s="18" t="inlineStr">
        <is>
          <t>New warehouse (80% complete)</t>
        </is>
      </c>
      <c r="B9" s="18" t="inlineStr">
        <is>
          <t>Building</t>
        </is>
      </c>
      <c r="C9" s="14" t="n">
        <v>8000000</v>
      </c>
      <c r="D9" s="19" t="inlineStr">
        <is>
          <t>No</t>
        </is>
      </c>
      <c r="E9" s="20">
        <f>IF(B9="","",VLOOKUP(B9,DEP_CLASSES,3,FALSE))</f>
        <v/>
      </c>
      <c r="F9" s="21">
        <f>IF(C9="","",IF(D9="Yes",ROUND(C9*E9,0),0))</f>
        <v/>
      </c>
    </row>
    <row r="10">
      <c r="A10" s="18" t="n"/>
      <c r="B10" s="18" t="n"/>
      <c r="C10" s="14" t="n"/>
      <c r="D10" s="19" t="n"/>
      <c r="E10" s="20">
        <f>IF(B10="","",VLOOKUP(B10,DEP_CLASSES,3,FALSE))</f>
        <v/>
      </c>
      <c r="F10" s="21">
        <f>IF(C10="","",IF(D10="Yes",ROUND(C10*E10,0),0))</f>
        <v/>
      </c>
    </row>
    <row r="11">
      <c r="A11" s="18" t="n"/>
      <c r="B11" s="18" t="n"/>
      <c r="C11" s="14" t="n"/>
      <c r="D11" s="19" t="n"/>
      <c r="E11" s="20">
        <f>IF(B11="","",VLOOKUP(B11,DEP_CLASSES,3,FALSE))</f>
        <v/>
      </c>
      <c r="F11" s="21">
        <f>IF(C11="","",IF(D11="Yes",ROUND(C11*E11,0),0))</f>
        <v/>
      </c>
    </row>
    <row r="12">
      <c r="A12" s="18" t="n"/>
      <c r="B12" s="18" t="n"/>
      <c r="C12" s="14" t="n"/>
      <c r="D12" s="19" t="n"/>
      <c r="E12" s="20">
        <f>IF(B12="","",VLOOKUP(B12,DEP_CLASSES,3,FALSE))</f>
        <v/>
      </c>
      <c r="F12" s="21">
        <f>IF(C12="","",IF(D12="Yes",ROUND(C12*E12,0),0))</f>
        <v/>
      </c>
    </row>
    <row r="13">
      <c r="A13" s="30" t="inlineStr">
        <is>
          <t>Total tax depreciation</t>
        </is>
      </c>
      <c r="B13" s="31" t="n"/>
      <c r="C13" s="31" t="n"/>
      <c r="D13" s="31" t="n"/>
      <c r="E13" s="31" t="n"/>
      <c r="F13" s="32">
        <f>SUM(F5:F12)</f>
        <v/>
      </c>
    </row>
    <row r="14">
      <c r="A14" s="16" t="inlineStr">
        <is>
          <t>Only completed buildings are depreciated; use the same method as the accounts.</t>
        </is>
      </c>
    </row>
    <row r="15"/>
    <row r="16">
      <c r="A16" s="5" t="inlineStr">
        <is>
          <t>Section B: business income tax computation</t>
        </is>
      </c>
    </row>
    <row r="17" ht="20" customHeight="1">
      <c r="A17" s="6" t="inlineStr">
        <is>
          <t>Line</t>
        </is>
      </c>
      <c r="B17" s="6" t="inlineStr">
        <is>
          <t>Value (ETB)</t>
        </is>
      </c>
      <c r="C17" s="6" t="inlineStr">
        <is>
          <t>Note</t>
        </is>
      </c>
      <c r="D17" s="27" t="n"/>
      <c r="E17" s="27" t="n"/>
      <c r="F17" s="28" t="n"/>
      <c r="H17" s="6" t="inlineStr">
        <is>
          <t>Donation check</t>
        </is>
      </c>
      <c r="I17" s="6" t="inlineStr">
        <is>
          <t>ETB</t>
        </is>
      </c>
    </row>
    <row r="18">
      <c r="A18" s="9" t="inlineStr">
        <is>
          <t>Turnover excluding VAT</t>
        </is>
      </c>
      <c r="B18" s="14" t="n">
        <v>150000000</v>
      </c>
      <c r="C18" s="9" t="inlineStr"/>
      <c r="H18" s="8" t="inlineStr">
        <is>
          <t>Donations charged in the accounts</t>
        </is>
      </c>
      <c r="I18" s="14" t="n">
        <v>450000</v>
      </c>
    </row>
    <row r="19">
      <c r="A19" s="9" t="inlineStr">
        <is>
          <t>Accounting profit before tax</t>
        </is>
      </c>
      <c r="B19" s="14" t="n">
        <v>13700000</v>
      </c>
      <c r="C19" s="9" t="inlineStr"/>
      <c r="H19" s="8" t="inlineStr">
        <is>
          <t>Taxable income before the donation add-back</t>
        </is>
      </c>
      <c r="I19" s="21">
        <f>B19+SUM(B20:B24)-B26</f>
        <v/>
      </c>
    </row>
    <row r="20">
      <c r="A20" s="9" t="inlineStr">
        <is>
          <t>Add: accounting depreciation</t>
        </is>
      </c>
      <c r="B20" s="14" t="n">
        <v>6400000</v>
      </c>
      <c r="C20" s="9" t="inlineStr"/>
      <c r="H20" s="8" t="inlineStr">
        <is>
          <t>Donation cap = donation cap % x taxable income</t>
        </is>
      </c>
      <c r="I20" s="21">
        <f>ROUND(DON_CAP*I19,0)</f>
        <v/>
      </c>
    </row>
    <row r="21">
      <c r="A21" s="9" t="inlineStr">
        <is>
          <t>Add: entertainment</t>
        </is>
      </c>
      <c r="B21" s="14" t="n">
        <v>380000</v>
      </c>
      <c r="C21" s="9" t="inlineStr"/>
      <c r="H21" s="8" t="inlineStr">
        <is>
          <t>Within the cap?</t>
        </is>
      </c>
      <c r="I21" s="22">
        <f>IF(I18&lt;=I20,"Yes","No")</f>
        <v/>
      </c>
    </row>
    <row r="22">
      <c r="A22" s="9" t="inlineStr">
        <is>
          <t>Add: fines and penalties</t>
        </is>
      </c>
      <c r="B22" s="14" t="n">
        <v>120000</v>
      </c>
      <c r="C22" s="9" t="inlineStr"/>
      <c r="H22" s="8" t="inlineStr">
        <is>
          <t>Add-back = donations above the cap</t>
        </is>
      </c>
      <c r="I22" s="24">
        <f>MAX(0,I18-I20)</f>
        <v/>
      </c>
    </row>
    <row r="23">
      <c r="A23" s="9" t="inlineStr">
        <is>
          <t>Add: cash payments above ETB 50,000 outside the bank</t>
        </is>
      </c>
      <c r="B23" s="14" t="n">
        <v>260000</v>
      </c>
      <c r="C23" s="9" t="inlineStr"/>
      <c r="H23" s="16" t="inlineStr">
        <is>
          <t>Donations already deducted in the accounts are within the cap here, so the add-back is 0. Confirm the cap base with the Ministry of Revenues for borderline cases.</t>
        </is>
      </c>
    </row>
    <row r="24">
      <c r="A24" s="9" t="inlineStr">
        <is>
          <t>Add: general provision for doubtful debts</t>
        </is>
      </c>
      <c r="B24" s="14" t="n">
        <v>500000</v>
      </c>
      <c r="C24" s="9" t="inlineStr"/>
    </row>
    <row r="25">
      <c r="A25" s="9" t="inlineStr">
        <is>
          <t>Add: donations above the cap</t>
        </is>
      </c>
      <c r="B25" s="21">
        <f>I22</f>
        <v/>
      </c>
      <c r="C25" s="9" t="inlineStr">
        <is>
          <t>From the donation check: donations above 10% of taxable income.</t>
        </is>
      </c>
    </row>
    <row r="26">
      <c r="A26" s="9" t="inlineStr">
        <is>
          <t>Less: tax depreciation (Section A)</t>
        </is>
      </c>
      <c r="B26" s="37">
        <f>F13</f>
        <v/>
      </c>
      <c r="C26" s="9" t="inlineStr"/>
    </row>
    <row r="27">
      <c r="A27" s="8" t="inlineStr">
        <is>
          <t>Taxable income = profit + add-backs minus tax depreciation</t>
        </is>
      </c>
      <c r="B27" s="24">
        <f>B19+SUM(B20:B25)-B26</f>
        <v/>
      </c>
      <c r="C27" s="9" t="inlineStr"/>
    </row>
    <row r="28">
      <c r="A28" s="9" t="inlineStr">
        <is>
          <t>Regular tax = taxable income x CIT rate</t>
        </is>
      </c>
      <c r="B28" s="21">
        <f>ROUND(B27*CIT_RATE,0)</f>
        <v/>
      </c>
      <c r="C28" s="9" t="inlineStr"/>
    </row>
    <row r="29">
      <c r="A29" s="9" t="inlineStr">
        <is>
          <t>MAT = turnover x MAT rate</t>
        </is>
      </c>
      <c r="B29" s="21">
        <f>ROUND(B18*MAT_RATE,0)</f>
        <v/>
      </c>
      <c r="C29" s="9" t="inlineStr"/>
    </row>
    <row r="30">
      <c r="A30" s="8" t="inlineStr">
        <is>
          <t>Tax for the year = higher of regular tax and MAT</t>
        </is>
      </c>
      <c r="B30" s="24">
        <f>MAX(B28,B29)</f>
        <v/>
      </c>
      <c r="C30" s="9" t="inlineStr"/>
    </row>
    <row r="31">
      <c r="A31" s="9" t="inlineStr">
        <is>
          <t>MAT applies?</t>
        </is>
      </c>
      <c r="B31" s="22">
        <f>IF(B29&gt;B28,"Yes","No")</f>
        <v/>
      </c>
      <c r="C31" s="9" t="inlineStr"/>
    </row>
    <row r="32">
      <c r="A32" s="9" t="inlineStr">
        <is>
          <t>Taxable income as % of turnover</t>
        </is>
      </c>
      <c r="B32" s="38">
        <f>IF(B18=0,0,B27/B18)</f>
        <v/>
      </c>
      <c r="C32" s="9" t="inlineStr"/>
    </row>
    <row r="33">
      <c r="A33" s="9" t="inlineStr">
        <is>
          <t>Break-even margin = MAT rate / CIT rate</t>
        </is>
      </c>
      <c r="B33" s="38">
        <f>MAT_RATE/CIT_RATE</f>
        <v/>
      </c>
      <c r="C33" s="9" t="inlineStr">
        <is>
          <t>Below this margin, MAT is higher than regular tax.</t>
        </is>
      </c>
    </row>
    <row r="34">
      <c r="A34" s="9" t="inlineStr">
        <is>
          <t>Less: withholding credits with receipts (Withholding Recon)</t>
        </is>
      </c>
      <c r="B34" s="37">
        <f>'Withholding Recon'!C23</f>
        <v/>
      </c>
      <c r="C34" s="9" t="inlineStr">
        <is>
          <t>Only receipted credits are claimed.</t>
        </is>
      </c>
    </row>
    <row r="35">
      <c r="A35" s="9" t="inlineStr">
        <is>
          <t>Less: advance tax paid on imports, per customs receipts</t>
        </is>
      </c>
      <c r="B35" s="39" t="n">
        <v>600000</v>
      </c>
      <c r="C35" s="9" t="inlineStr"/>
    </row>
    <row r="36">
      <c r="A36" s="9" t="inlineStr">
        <is>
          <t>Less: advance installments paid, per receipts</t>
        </is>
      </c>
      <c r="B36" s="39" t="n">
        <v>1000000</v>
      </c>
      <c r="C36" s="9" t="inlineStr"/>
    </row>
    <row r="37">
      <c r="A37" s="30">
        <f>IF(B30-SUM(B34:B36)&lt;0,"Refund or credit","Balance payable with the return")</f>
        <v/>
      </c>
      <c r="B37" s="32">
        <f>ABS(B30-SUM(B34:B36))</f>
        <v/>
      </c>
      <c r="C37" s="9" t="inlineStr">
        <is>
          <t>Tax for the year minus credits.</t>
        </is>
      </c>
    </row>
    <row r="38">
      <c r="A38" s="9" t="inlineStr">
        <is>
          <t>Return due</t>
        </is>
      </c>
      <c r="B38" s="18" t="inlineStr">
        <is>
          <t>Last day of the fourth month after year-end (end of Tikimt)</t>
        </is>
      </c>
      <c r="C38" s="34" t="n"/>
      <c r="D38" s="34" t="n"/>
      <c r="E38" s="34" t="n"/>
      <c r="F38" s="33" t="n"/>
    </row>
    <row r="39" ht="33" customHeight="1">
      <c r="A39" s="9" t="inlineStr">
        <is>
          <t>Next year's quarterly installment = tax for the year x advance rate</t>
        </is>
      </c>
      <c r="B39" s="21">
        <f>ROUND(B30*ADV_RATE,0)</f>
        <v/>
      </c>
      <c r="C39" s="9" t="inlineStr"/>
    </row>
    <row r="40">
      <c r="A40" s="9" t="inlineStr">
        <is>
          <t>Installment due</t>
        </is>
      </c>
      <c r="B40" s="18" t="inlineStr">
        <is>
          <t>Within 30 days after each quarter-end; check the Ministry's schedule</t>
        </is>
      </c>
      <c r="C40" s="34" t="n"/>
      <c r="D40" s="34" t="n"/>
      <c r="E40" s="34" t="n"/>
      <c r="F40" s="33" t="n"/>
    </row>
    <row r="41"/>
    <row r="42">
      <c r="A42" s="5" t="inlineStr">
        <is>
          <t>Section C: tax expense and deferred tax (for the accounts, FY 2025/26)</t>
        </is>
      </c>
    </row>
    <row r="43" ht="20" customHeight="1">
      <c r="A43" s="6" t="inlineStr">
        <is>
          <t>Line</t>
        </is>
      </c>
      <c r="B43" s="6" t="inlineStr">
        <is>
          <t>Value (ETB)</t>
        </is>
      </c>
      <c r="C43" s="6" t="inlineStr">
        <is>
          <t>Check</t>
        </is>
      </c>
      <c r="D43" s="27" t="n"/>
      <c r="E43" s="27" t="n"/>
      <c r="F43" s="28" t="n"/>
    </row>
    <row r="44">
      <c r="A44" s="9" t="inlineStr">
        <is>
          <t>Tax at the CIT rate on accounting profit</t>
        </is>
      </c>
      <c r="B44" s="21">
        <f>ROUND(B19*CIT_RATE,0)</f>
        <v/>
      </c>
      <c r="C44" s="9" t="inlineStr"/>
    </row>
    <row r="45" ht="33" customHeight="1">
      <c r="A45" s="9" t="inlineStr">
        <is>
          <t>Permanent differences (entertainment, fines, cash payments) x CIT rate</t>
        </is>
      </c>
      <c r="B45" s="21">
        <f>ROUND((B21+B22+B23)*CIT_RATE,0)</f>
        <v/>
      </c>
      <c r="C45" s="9" t="inlineStr"/>
    </row>
    <row r="46">
      <c r="A46" s="9" t="inlineStr">
        <is>
          <t>Current tax</t>
        </is>
      </c>
      <c r="B46" s="21">
        <f>B30</f>
        <v/>
      </c>
      <c r="C46" s="9" t="inlineStr"/>
    </row>
    <row r="47" ht="33" customHeight="1">
      <c r="A47" s="9" t="inlineStr">
        <is>
          <t>Deferred tax liability on the depreciation difference = (tax minus book depreciation) x CIT rate</t>
        </is>
      </c>
      <c r="B47" s="21">
        <f>ROUND((B26-B20)*CIT_RATE,0)</f>
        <v/>
      </c>
      <c r="C47" s="9" t="inlineStr"/>
    </row>
    <row r="48" ht="33" customHeight="1">
      <c r="A48" s="9" t="inlineStr">
        <is>
          <t>Less: deferred tax asset on the general provision = provision x CIT rate</t>
        </is>
      </c>
      <c r="B48" s="37">
        <f>ROUND(B24*CIT_RATE,0)</f>
        <v/>
      </c>
      <c r="C48" s="9" t="inlineStr"/>
    </row>
    <row r="49" ht="33" customHeight="1">
      <c r="A49" s="8" t="inlineStr">
        <is>
          <t>Total income tax expense = current + deferred tax liability minus deferred tax asset</t>
        </is>
      </c>
      <c r="B49" s="24">
        <f>B46+B47-B48</f>
        <v/>
      </c>
      <c r="C49" s="9" t="inlineStr"/>
    </row>
    <row r="50">
      <c r="A50" s="9" t="inlineStr">
        <is>
          <t>Check: tax on accounting profit + permanent differences</t>
        </is>
      </c>
      <c r="B50" s="21">
        <f>B44+B45</f>
        <v/>
      </c>
      <c r="C50" s="40">
        <f>IF(B50=B49,"Agrees to the total expense","Check")</f>
        <v/>
      </c>
    </row>
    <row r="51">
      <c r="A51" s="9" t="inlineStr">
        <is>
          <t>Effective tax rate = total expense / accounting profit</t>
        </is>
      </c>
      <c r="B51" s="38">
        <f>IF(B19=0,0,B49/B19)</f>
        <v/>
      </c>
      <c r="C51" s="9" t="inlineStr"/>
    </row>
    <row r="52"/>
    <row r="53">
      <c r="A53" s="5" t="inlineStr">
        <is>
          <t>Section D: quarterly MAT watch (current year, inputs by quarter)</t>
        </is>
      </c>
    </row>
    <row r="54" ht="48" customHeight="1">
      <c r="A54" s="6" t="inlineStr">
        <is>
          <t>Quarter</t>
        </is>
      </c>
      <c r="B54" s="6" t="inlineStr">
        <is>
          <t>Turnover to date (ETB)</t>
        </is>
      </c>
      <c r="C54" s="6" t="inlineStr">
        <is>
          <t>Estimated taxable income to date (ETB)</t>
        </is>
      </c>
      <c r="D54" s="6" t="inlineStr">
        <is>
          <t>Regular tax estimate (ETB)</t>
        </is>
      </c>
      <c r="E54" s="6" t="inlineStr">
        <is>
          <t>MAT (ETB)</t>
        </is>
      </c>
      <c r="F54" s="6" t="inlineStr">
        <is>
          <t>Flag</t>
        </is>
      </c>
    </row>
    <row r="55">
      <c r="A55" s="8" t="inlineStr">
        <is>
          <t>Q1 (Hamle to Meskerem)</t>
        </is>
      </c>
      <c r="B55" s="14" t="n"/>
      <c r="C55" s="14" t="n"/>
      <c r="D55" s="21">
        <f>IF(C55="","",ROUND(C55*CIT_RATE,0))</f>
        <v/>
      </c>
      <c r="E55" s="21">
        <f>IF(B55="","",ROUND(B55*MAT_RATE,0))</f>
        <v/>
      </c>
      <c r="F55" s="40">
        <f>IF(OR(B55="",C55=""),"",IF(E55&gt;D55,"MAT may apply: update the cash forecast",""))</f>
        <v/>
      </c>
    </row>
    <row r="56">
      <c r="A56" s="8" t="inlineStr">
        <is>
          <t>Q2 (Tikimt to Tahsas)</t>
        </is>
      </c>
      <c r="B56" s="14" t="n"/>
      <c r="C56" s="14" t="n"/>
      <c r="D56" s="21">
        <f>IF(C56="","",ROUND(C56*CIT_RATE,0))</f>
        <v/>
      </c>
      <c r="E56" s="21">
        <f>IF(B56="","",ROUND(B56*MAT_RATE,0))</f>
        <v/>
      </c>
      <c r="F56" s="40">
        <f>IF(OR(B56="",C56=""),"",IF(E56&gt;D56,"MAT may apply: update the cash forecast",""))</f>
        <v/>
      </c>
    </row>
    <row r="57">
      <c r="A57" s="8" t="inlineStr">
        <is>
          <t>Q3 (Tir to Megabit)</t>
        </is>
      </c>
      <c r="B57" s="14" t="n"/>
      <c r="C57" s="14" t="n"/>
      <c r="D57" s="21">
        <f>IF(C57="","",ROUND(C57*CIT_RATE,0))</f>
        <v/>
      </c>
      <c r="E57" s="21">
        <f>IF(B57="","",ROUND(B57*MAT_RATE,0))</f>
        <v/>
      </c>
      <c r="F57" s="40">
        <f>IF(OR(B57="",C57=""),"",IF(E57&gt;D57,"MAT may apply: update the cash forecast",""))</f>
        <v/>
      </c>
    </row>
    <row r="58">
      <c r="A58" s="8" t="inlineStr">
        <is>
          <t>Q4 (Miyazia to Sene)</t>
        </is>
      </c>
      <c r="B58" s="14" t="n"/>
      <c r="C58" s="14" t="n"/>
      <c r="D58" s="21">
        <f>IF(C58="","",ROUND(C58*CIT_RATE,0))</f>
        <v/>
      </c>
      <c r="E58" s="21">
        <f>IF(B58="","",ROUND(B58*MAT_RATE,0))</f>
        <v/>
      </c>
      <c r="F58" s="40">
        <f>IF(OR(B58="",C58=""),"",IF(E58&gt;D58,"MAT may apply: update the cash forecast",""))</f>
        <v/>
      </c>
    </row>
  </sheetData>
  <mergeCells count="36">
    <mergeCell ref="C48:F48"/>
    <mergeCell ref="C17:F17"/>
    <mergeCell ref="C23:F23"/>
    <mergeCell ref="C39:F39"/>
    <mergeCell ref="H23:I25"/>
    <mergeCell ref="C32:F32"/>
    <mergeCell ref="C19:F19"/>
    <mergeCell ref="C37:F37"/>
    <mergeCell ref="C28:F28"/>
    <mergeCell ref="C18:F18"/>
    <mergeCell ref="A14:F14"/>
    <mergeCell ref="C49:F49"/>
    <mergeCell ref="C34:F34"/>
    <mergeCell ref="C30:F30"/>
    <mergeCell ref="C33:F33"/>
    <mergeCell ref="C24:F24"/>
    <mergeCell ref="C45:F45"/>
    <mergeCell ref="B38:F38"/>
    <mergeCell ref="C35:F35"/>
    <mergeCell ref="C20:F20"/>
    <mergeCell ref="C26:F26"/>
    <mergeCell ref="C29:F29"/>
    <mergeCell ref="C25:F25"/>
    <mergeCell ref="C47:F47"/>
    <mergeCell ref="B40:F40"/>
    <mergeCell ref="C50:F50"/>
    <mergeCell ref="C44:F44"/>
    <mergeCell ref="C22:F22"/>
    <mergeCell ref="C31:F31"/>
    <mergeCell ref="C43:F43"/>
    <mergeCell ref="A1:I1"/>
    <mergeCell ref="C21:F21"/>
    <mergeCell ref="C46:F46"/>
    <mergeCell ref="C51:F51"/>
    <mergeCell ref="C27:F27"/>
    <mergeCell ref="C36:F36"/>
  </mergeCells>
  <conditionalFormatting sqref="F55:F58">
    <cfRule type="expression" priority="1" dxfId="1">
      <formula>$F55&lt;&gt;""</formula>
    </cfRule>
  </conditionalFormatting>
  <conditionalFormatting sqref="B31">
    <cfRule type="cellIs" priority="2" operator="equal" dxfId="1">
      <formula>"Yes"</formula>
    </cfRule>
  </conditionalFormatting>
  <dataValidations count="2">
    <dataValidation sqref="B5:B12" showDropDown="0" showInputMessage="0" showErrorMessage="0" allowBlank="1" errorTitle="Invalid entry" error="Choose a value from the list." type="list">
      <formula1>"Building,Computers and software,Intangible,Other"</formula1>
    </dataValidation>
    <dataValidation sqref="D5:D12"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2026-10-22T15:24:08Z</dcterms:created>
  <dcterms:modified xmlns:dcterms="http://purl.org/dc/terms/" xmlns:xsi="http://www.w3.org/2001/XMLSchema-instance" xsi:type="dcterms:W3CDTF">2026-10-22T15:24:08Z</dcterms:modified>
</cp:coreProperties>
</file>